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 activeTab="2"/>
  </bookViews>
  <sheets>
    <sheet name="Доходы" sheetId="6" r:id="rId1"/>
    <sheet name="расходы" sheetId="9" r:id="rId2"/>
    <sheet name="источники" sheetId="3" r:id="rId3"/>
  </sheets>
  <definedNames>
    <definedName name="_xlnm.Print_Titles" localSheetId="1">расходы!$3:$8</definedName>
    <definedName name="_xlnm.Print_Area" localSheetId="0">Доходы!$A$1:$I$111</definedName>
    <definedName name="_xlnm.Print_Area" localSheetId="2">источники!$A$1:$I$35</definedName>
    <definedName name="_xlnm.Print_Area" localSheetId="1">расходы!$A$1:$K$90</definedName>
  </definedNames>
  <calcPr calcId="125725"/>
</workbook>
</file>

<file path=xl/calcChain.xml><?xml version="1.0" encoding="utf-8"?>
<calcChain xmlns="http://schemas.openxmlformats.org/spreadsheetml/2006/main">
  <c r="H22" i="3"/>
  <c r="E22"/>
  <c r="D22"/>
  <c r="D21"/>
  <c r="D9" s="1"/>
  <c r="L11" i="9"/>
  <c r="J12"/>
  <c r="L12"/>
  <c r="J13"/>
  <c r="L13"/>
  <c r="D14"/>
  <c r="J14"/>
  <c r="L14" s="1"/>
  <c r="D16"/>
  <c r="D15" s="1"/>
  <c r="E16"/>
  <c r="E15" s="1"/>
  <c r="F16"/>
  <c r="F15" s="1"/>
  <c r="I16"/>
  <c r="I15" s="1"/>
  <c r="J16"/>
  <c r="E17"/>
  <c r="J17"/>
  <c r="L17"/>
  <c r="D18"/>
  <c r="J18"/>
  <c r="L18" s="1"/>
  <c r="E19"/>
  <c r="F19"/>
  <c r="I19"/>
  <c r="D20"/>
  <c r="D19" s="1"/>
  <c r="J21"/>
  <c r="L21"/>
  <c r="D22"/>
  <c r="E22"/>
  <c r="F22"/>
  <c r="I22"/>
  <c r="J22" s="1"/>
  <c r="J23"/>
  <c r="L23"/>
  <c r="D24"/>
  <c r="E24"/>
  <c r="F24"/>
  <c r="I24"/>
  <c r="J24" s="1"/>
  <c r="L24" s="1"/>
  <c r="D25"/>
  <c r="E25"/>
  <c r="F25"/>
  <c r="I25"/>
  <c r="J25" s="1"/>
  <c r="L25" s="1"/>
  <c r="D26"/>
  <c r="E26"/>
  <c r="F26"/>
  <c r="I26"/>
  <c r="J26" s="1"/>
  <c r="L26" s="1"/>
  <c r="E27"/>
  <c r="F27"/>
  <c r="F34" s="1"/>
  <c r="I27"/>
  <c r="J27"/>
  <c r="L27" s="1"/>
  <c r="D28"/>
  <c r="L28" s="1"/>
  <c r="E28"/>
  <c r="F28"/>
  <c r="I28"/>
  <c r="J28"/>
  <c r="D29"/>
  <c r="L29" s="1"/>
  <c r="E29"/>
  <c r="F29"/>
  <c r="I29"/>
  <c r="J29"/>
  <c r="E30"/>
  <c r="J30"/>
  <c r="L30"/>
  <c r="J31"/>
  <c r="L31"/>
  <c r="D32"/>
  <c r="J32"/>
  <c r="J33"/>
  <c r="L32" s="1"/>
  <c r="E34"/>
  <c r="G34"/>
  <c r="G10" s="1"/>
  <c r="H34"/>
  <c r="H10" s="1"/>
  <c r="I34"/>
  <c r="K34"/>
  <c r="D35"/>
  <c r="J35"/>
  <c r="E36"/>
  <c r="F36"/>
  <c r="F42" s="1"/>
  <c r="I36"/>
  <c r="J36"/>
  <c r="J42" s="1"/>
  <c r="E37"/>
  <c r="F37"/>
  <c r="I37"/>
  <c r="J37"/>
  <c r="E38"/>
  <c r="F38"/>
  <c r="I38"/>
  <c r="J38" s="1"/>
  <c r="D39"/>
  <c r="J39"/>
  <c r="L38" s="1"/>
  <c r="J40"/>
  <c r="L39" s="1"/>
  <c r="E41"/>
  <c r="F41"/>
  <c r="I41"/>
  <c r="J41" s="1"/>
  <c r="L41"/>
  <c r="D42"/>
  <c r="E42"/>
  <c r="G42"/>
  <c r="H42"/>
  <c r="I42"/>
  <c r="L42"/>
  <c r="E44"/>
  <c r="F44"/>
  <c r="I44"/>
  <c r="J44" s="1"/>
  <c r="E45"/>
  <c r="F45"/>
  <c r="F46" s="1"/>
  <c r="I45"/>
  <c r="J45"/>
  <c r="L44" s="1"/>
  <c r="D46"/>
  <c r="E46"/>
  <c r="I46"/>
  <c r="J46" s="1"/>
  <c r="D47"/>
  <c r="J47" s="1"/>
  <c r="J50" s="1"/>
  <c r="D48"/>
  <c r="J48"/>
  <c r="L47" s="1"/>
  <c r="D49"/>
  <c r="J49"/>
  <c r="D50"/>
  <c r="L49" s="1"/>
  <c r="E50"/>
  <c r="F50"/>
  <c r="F54" s="1"/>
  <c r="G50"/>
  <c r="H50"/>
  <c r="H54" s="1"/>
  <c r="I50"/>
  <c r="K50"/>
  <c r="D51"/>
  <c r="D54" s="1"/>
  <c r="E51"/>
  <c r="F51"/>
  <c r="I51"/>
  <c r="J51"/>
  <c r="D52"/>
  <c r="E52"/>
  <c r="J52" s="1"/>
  <c r="F52"/>
  <c r="I52"/>
  <c r="J53"/>
  <c r="E54"/>
  <c r="G54"/>
  <c r="I54"/>
  <c r="K54"/>
  <c r="D56"/>
  <c r="D57"/>
  <c r="E57"/>
  <c r="F57"/>
  <c r="I57"/>
  <c r="D58"/>
  <c r="E58"/>
  <c r="F58"/>
  <c r="I58"/>
  <c r="J58"/>
  <c r="J59"/>
  <c r="L58" s="1"/>
  <c r="D60"/>
  <c r="J60"/>
  <c r="D61"/>
  <c r="J61"/>
  <c r="D62"/>
  <c r="J62"/>
  <c r="D63"/>
  <c r="E63"/>
  <c r="E65" s="1"/>
  <c r="F63"/>
  <c r="I63"/>
  <c r="J63" s="1"/>
  <c r="J65" s="1"/>
  <c r="J64"/>
  <c r="D65"/>
  <c r="L64" s="1"/>
  <c r="F65"/>
  <c r="G65"/>
  <c r="H65"/>
  <c r="D66"/>
  <c r="D67"/>
  <c r="J67"/>
  <c r="L66" s="1"/>
  <c r="D68"/>
  <c r="E68"/>
  <c r="F68"/>
  <c r="I68"/>
  <c r="J68"/>
  <c r="D69"/>
  <c r="L67" s="1"/>
  <c r="E69"/>
  <c r="F69"/>
  <c r="I69"/>
  <c r="J69"/>
  <c r="D70"/>
  <c r="L68" s="1"/>
  <c r="E70"/>
  <c r="F70"/>
  <c r="I70"/>
  <c r="J70"/>
  <c r="D71"/>
  <c r="D72"/>
  <c r="J72"/>
  <c r="L71" s="1"/>
  <c r="D73"/>
  <c r="L72" s="1"/>
  <c r="E73"/>
  <c r="F73"/>
  <c r="I73"/>
  <c r="J73"/>
  <c r="D74"/>
  <c r="L73" s="1"/>
  <c r="E74"/>
  <c r="F74"/>
  <c r="I74"/>
  <c r="J74"/>
  <c r="J75"/>
  <c r="E76"/>
  <c r="F76"/>
  <c r="I76"/>
  <c r="J76" s="1"/>
  <c r="D77"/>
  <c r="L75" s="1"/>
  <c r="J77"/>
  <c r="D78"/>
  <c r="L76" s="1"/>
  <c r="E78"/>
  <c r="F78"/>
  <c r="I78"/>
  <c r="J78"/>
  <c r="D79"/>
  <c r="F79"/>
  <c r="G79"/>
  <c r="H79"/>
  <c r="H81" s="1"/>
  <c r="L79"/>
  <c r="D80"/>
  <c r="J80" s="1"/>
  <c r="L80"/>
  <c r="D81"/>
  <c r="G81"/>
  <c r="J81"/>
  <c r="E83"/>
  <c r="F83"/>
  <c r="I83"/>
  <c r="J83" s="1"/>
  <c r="J84" s="1"/>
  <c r="D84"/>
  <c r="F84"/>
  <c r="G84"/>
  <c r="H84"/>
  <c r="K84"/>
  <c r="D85"/>
  <c r="E85"/>
  <c r="F85"/>
  <c r="I85"/>
  <c r="J85" s="1"/>
  <c r="D86"/>
  <c r="J86"/>
  <c r="L85" s="1"/>
  <c r="D87"/>
  <c r="G87"/>
  <c r="H87"/>
  <c r="L87"/>
  <c r="I92"/>
  <c r="J92"/>
  <c r="K93"/>
  <c r="L22" l="1"/>
  <c r="J34"/>
  <c r="J19"/>
  <c r="L19"/>
  <c r="L84"/>
  <c r="L86"/>
  <c r="L82"/>
  <c r="L77"/>
  <c r="L74"/>
  <c r="L70"/>
  <c r="J54"/>
  <c r="L43"/>
  <c r="L40"/>
  <c r="L37"/>
  <c r="F10"/>
  <c r="F93" s="1"/>
  <c r="J15"/>
  <c r="L15" s="1"/>
  <c r="E10"/>
  <c r="E93" s="1"/>
  <c r="J87"/>
  <c r="I84"/>
  <c r="E84"/>
  <c r="I79"/>
  <c r="E79"/>
  <c r="L78"/>
  <c r="J71"/>
  <c r="L69"/>
  <c r="J66"/>
  <c r="J79" s="1"/>
  <c r="I65"/>
  <c r="I10" s="1"/>
  <c r="I93" s="1"/>
  <c r="D34"/>
  <c r="D10" s="1"/>
  <c r="J20"/>
  <c r="L20" s="1"/>
  <c r="L16"/>
  <c r="H21" i="3"/>
  <c r="E21"/>
  <c r="H9" s="1"/>
  <c r="E55" i="6"/>
  <c r="H55" s="1"/>
  <c r="I55" s="1"/>
  <c r="H59"/>
  <c r="I59"/>
  <c r="D112"/>
  <c r="I111"/>
  <c r="H111"/>
  <c r="I110"/>
  <c r="H110"/>
  <c r="I109"/>
  <c r="H109"/>
  <c r="E108"/>
  <c r="H108" s="1"/>
  <c r="I108" s="1"/>
  <c r="H107"/>
  <c r="I107" s="1"/>
  <c r="H106"/>
  <c r="I106" s="1"/>
  <c r="H105"/>
  <c r="I105" s="1"/>
  <c r="E104"/>
  <c r="H104" s="1"/>
  <c r="D104"/>
  <c r="H103"/>
  <c r="I103" s="1"/>
  <c r="H102"/>
  <c r="I102" s="1"/>
  <c r="E101"/>
  <c r="H101" s="1"/>
  <c r="D101"/>
  <c r="D100"/>
  <c r="H99"/>
  <c r="I99" s="1"/>
  <c r="H98"/>
  <c r="E98"/>
  <c r="D98"/>
  <c r="I98" s="1"/>
  <c r="E97"/>
  <c r="H97" s="1"/>
  <c r="H94"/>
  <c r="I94" s="1"/>
  <c r="E93"/>
  <c r="H93" s="1"/>
  <c r="I93" s="1"/>
  <c r="H91"/>
  <c r="I91" s="1"/>
  <c r="H90"/>
  <c r="D90"/>
  <c r="I90" s="1"/>
  <c r="H89"/>
  <c r="I89" s="1"/>
  <c r="E88"/>
  <c r="H88" s="1"/>
  <c r="D88"/>
  <c r="H87"/>
  <c r="I87" s="1"/>
  <c r="E86"/>
  <c r="H86" s="1"/>
  <c r="I86" s="1"/>
  <c r="D84"/>
  <c r="H83"/>
  <c r="I83" s="1"/>
  <c r="E82"/>
  <c r="H82" s="1"/>
  <c r="D82"/>
  <c r="E81"/>
  <c r="H81" s="1"/>
  <c r="D81"/>
  <c r="E80"/>
  <c r="H80" s="1"/>
  <c r="D80"/>
  <c r="H79"/>
  <c r="I79" s="1"/>
  <c r="E78"/>
  <c r="H78" s="1"/>
  <c r="D78"/>
  <c r="E77"/>
  <c r="H77" s="1"/>
  <c r="D77"/>
  <c r="H76"/>
  <c r="I76" s="1"/>
  <c r="E75"/>
  <c r="H75" s="1"/>
  <c r="D75"/>
  <c r="E74"/>
  <c r="H74" s="1"/>
  <c r="D74"/>
  <c r="E73"/>
  <c r="H73" s="1"/>
  <c r="D73"/>
  <c r="H72"/>
  <c r="I72" s="1"/>
  <c r="E71"/>
  <c r="H71" s="1"/>
  <c r="D71"/>
  <c r="E70"/>
  <c r="H70" s="1"/>
  <c r="D70"/>
  <c r="E69"/>
  <c r="H69" s="1"/>
  <c r="D69"/>
  <c r="H68"/>
  <c r="I68" s="1"/>
  <c r="E67"/>
  <c r="H67" s="1"/>
  <c r="I67" s="1"/>
  <c r="D66"/>
  <c r="D65" s="1"/>
  <c r="H64"/>
  <c r="I64" s="1"/>
  <c r="H63"/>
  <c r="I63" s="1"/>
  <c r="H62"/>
  <c r="I62" s="1"/>
  <c r="E61"/>
  <c r="H61" s="1"/>
  <c r="I61" s="1"/>
  <c r="D60"/>
  <c r="H58"/>
  <c r="I58" s="1"/>
  <c r="H57"/>
  <c r="I57" s="1"/>
  <c r="H56"/>
  <c r="I56" s="1"/>
  <c r="D54"/>
  <c r="D53" s="1"/>
  <c r="H52"/>
  <c r="I52" s="1"/>
  <c r="H51"/>
  <c r="I51" s="1"/>
  <c r="H50"/>
  <c r="I50" s="1"/>
  <c r="E49"/>
  <c r="H49" s="1"/>
  <c r="I49" s="1"/>
  <c r="D48"/>
  <c r="H46"/>
  <c r="I46" s="1"/>
  <c r="E45"/>
  <c r="H45" s="1"/>
  <c r="D45"/>
  <c r="H44"/>
  <c r="I44" s="1"/>
  <c r="H43"/>
  <c r="I43" s="1"/>
  <c r="H42"/>
  <c r="I42" s="1"/>
  <c r="E41"/>
  <c r="H41" s="1"/>
  <c r="I41" s="1"/>
  <c r="D40"/>
  <c r="D39"/>
  <c r="H38"/>
  <c r="I38" s="1"/>
  <c r="H37"/>
  <c r="I37" s="1"/>
  <c r="H36"/>
  <c r="I36" s="1"/>
  <c r="E35"/>
  <c r="H35" s="1"/>
  <c r="I35" s="1"/>
  <c r="H34"/>
  <c r="I34" s="1"/>
  <c r="H33"/>
  <c r="I33" s="1"/>
  <c r="H32"/>
  <c r="I32" s="1"/>
  <c r="E31"/>
  <c r="H31" s="1"/>
  <c r="I31" s="1"/>
  <c r="H30"/>
  <c r="I30" s="1"/>
  <c r="H29"/>
  <c r="I29" s="1"/>
  <c r="H28"/>
  <c r="I28" s="1"/>
  <c r="H27"/>
  <c r="I27" s="1"/>
  <c r="H26"/>
  <c r="I26" s="1"/>
  <c r="E25"/>
  <c r="H25" s="1"/>
  <c r="I25" s="1"/>
  <c r="D24"/>
  <c r="D23" s="1"/>
  <c r="E9" i="3" l="1"/>
  <c r="J10" i="9"/>
  <c r="J93" s="1"/>
  <c r="D93"/>
  <c r="L65"/>
  <c r="I104" i="6"/>
  <c r="I45"/>
  <c r="E60"/>
  <c r="H60" s="1"/>
  <c r="I60" s="1"/>
  <c r="I69"/>
  <c r="I70"/>
  <c r="I71"/>
  <c r="I73"/>
  <c r="I74"/>
  <c r="I75"/>
  <c r="I77"/>
  <c r="I78"/>
  <c r="I80"/>
  <c r="I81"/>
  <c r="I82"/>
  <c r="I88"/>
  <c r="E92"/>
  <c r="H92" s="1"/>
  <c r="I92" s="1"/>
  <c r="D97"/>
  <c r="E100"/>
  <c r="H100" s="1"/>
  <c r="I100" s="1"/>
  <c r="I101"/>
  <c r="E48"/>
  <c r="H48" s="1"/>
  <c r="I48" s="1"/>
  <c r="E24"/>
  <c r="E40"/>
  <c r="D47"/>
  <c r="E54"/>
  <c r="E66"/>
  <c r="E85"/>
  <c r="I97" l="1"/>
  <c r="D96"/>
  <c r="E96"/>
  <c r="H24"/>
  <c r="I24" s="1"/>
  <c r="E23"/>
  <c r="H23" s="1"/>
  <c r="I23" s="1"/>
  <c r="H85"/>
  <c r="I85" s="1"/>
  <c r="E84"/>
  <c r="H84" s="1"/>
  <c r="I84" s="1"/>
  <c r="H54"/>
  <c r="I54" s="1"/>
  <c r="E53"/>
  <c r="H40"/>
  <c r="I40" s="1"/>
  <c r="E39"/>
  <c r="H66"/>
  <c r="I66" s="1"/>
  <c r="E65"/>
  <c r="H65" s="1"/>
  <c r="I65" s="1"/>
  <c r="D22"/>
  <c r="H96" l="1"/>
  <c r="E95"/>
  <c r="H95" s="1"/>
  <c r="I96"/>
  <c r="D95"/>
  <c r="I95" s="1"/>
  <c r="H39"/>
  <c r="I39" s="1"/>
  <c r="H53"/>
  <c r="I53" s="1"/>
  <c r="E47"/>
  <c r="H47" s="1"/>
  <c r="I47" s="1"/>
  <c r="D21" l="1"/>
  <c r="E22"/>
  <c r="E21" s="1"/>
  <c r="H21" s="1"/>
  <c r="I21" s="1"/>
  <c r="H22" l="1"/>
  <c r="I22" s="1"/>
</calcChain>
</file>

<file path=xl/sharedStrings.xml><?xml version="1.0" encoding="utf-8"?>
<sst xmlns="http://schemas.openxmlformats.org/spreadsheetml/2006/main" count="689" uniqueCount="346">
  <si>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</si>
  <si>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</si>
  <si>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</si>
  <si>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</si>
  <si>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</si>
  <si>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</si>
  <si>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</si>
  <si>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</si>
  <si>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</si>
  <si>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</si>
  <si>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</si>
  <si>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</si>
  <si>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</si>
  <si>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</si>
  <si>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</si>
  <si>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</si>
  <si>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</si>
  <si>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</si>
  <si>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</si>
  <si>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</si>
  <si>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</si>
  <si>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</si>
  <si>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</si>
  <si>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</si>
  <si>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</si>
  <si>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</si>
  <si>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</si>
  <si>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</si>
  <si>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</si>
  <si>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</si>
  <si>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</si>
  <si>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</si>
  <si>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</si>
  <si>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</si>
  <si>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</si>
  <si>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</si>
  <si>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</si>
  <si>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</si>
  <si>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</si>
  <si>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</si>
  <si>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</si>
  <si>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</si>
  <si>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</si>
  <si>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</si>
  <si>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</si>
  <si>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</si>
  <si>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</si>
  <si>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</si>
  <si>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</si>
  <si>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</si>
  <si>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</si>
  <si>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</si>
  <si>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</si>
  <si>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</si>
  <si>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</si>
  <si>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</si>
  <si>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</si>
  <si>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</si>
  <si>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</si>
  <si>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</si>
  <si>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</si>
  <si>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</si>
  <si>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</si>
  <si>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</si>
  <si>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</si>
  <si>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</si>
  <si>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</si>
  <si>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</si>
  <si>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</si>
  <si>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</si>
  <si>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</si>
  <si>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</si>
  <si>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</si>
  <si>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</si>
  <si>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</si>
  <si>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0801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</si>
  <si>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</si>
  <si>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</si>
  <si>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</si>
  <si>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</si>
  <si>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</si>
  <si>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</si>
  <si>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</si>
  <si>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</si>
  <si>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</si>
  <si>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</si>
  <si>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</si>
  <si>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</si>
  <si>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</si>
  <si>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</si>
  <si>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</si>
  <si>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</si>
  <si>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</si>
  <si>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</si>
  <si>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</si>
  <si>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</si>
  <si>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</si>
  <si>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</si>
  <si>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</si>
  <si>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</si>
  <si>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</si>
  <si>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</si>
  <si>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</si>
  <si>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</si>
  <si>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</si>
  <si>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</si>
  <si>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</si>
  <si>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</si>
  <si>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</si>
  <si>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</si>
  <si>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</si>
  <si>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</si>
  <si>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</si>
  <si>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</si>
  <si>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</si>
  <si>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</si>
  <si>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</si>
  <si>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</si>
  <si>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ф.00 Охрана природных территорий</t>
  </si>
  <si>
    <t>Субсидии на обеспечение деятельности культуры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</si>
  <si>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</si>
  <si>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</si>
  <si>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</si>
  <si>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</si>
  <si>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</si>
  <si>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</si>
  <si>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</si>
  <si>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</si>
  <si>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</si>
  <si>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</si>
  <si>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</si>
  <si>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</si>
  <si>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</si>
  <si>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</si>
  <si>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</si>
  <si>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</si>
  <si>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</si>
  <si>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</si>
  <si>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</si>
  <si>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</si>
  <si>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</si>
  <si>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</si>
  <si>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</si>
  <si>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</si>
  <si>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</si>
  <si>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</si>
  <si>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</si>
  <si>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</si>
  <si>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</si>
  <si>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</si>
  <si>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</si>
  <si>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</si>
  <si>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</si>
  <si>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</si>
  <si>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</si>
  <si>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</si>
  <si>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</si>
  <si>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</si>
  <si>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</si>
  <si>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</si>
  <si>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</si>
  <si>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</si>
  <si>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</si>
  <si>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</si>
  <si>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</si>
  <si>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</si>
  <si>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</si>
  <si>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</si>
  <si>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</si>
  <si>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</si>
  <si>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</si>
  <si>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</si>
  <si>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</si>
  <si>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</si>
  <si>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</si>
  <si>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</si>
  <si>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</si>
  <si>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</si>
  <si>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</si>
  <si>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</si>
  <si>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</si>
  <si>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</si>
  <si>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</si>
  <si>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</si>
  <si>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</si>
  <si>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</si>
  <si>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</si>
  <si>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Ф. 00 прочие расходы (госпошлина)</t>
  </si>
  <si>
    <t>Ф. 00 прочие расходы (взнос СМО)</t>
  </si>
  <si>
    <t>Ф. 00 прочие расходы (зем и им-в налог)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</si>
  <si>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</si>
  <si>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</si>
  <si>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</si>
  <si>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</si>
  <si>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</si>
  <si>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</si>
  <si>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</si>
  <si>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</si>
  <si>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</si>
  <si>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</si>
  <si>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</si>
  <si>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</si>
  <si>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</si>
  <si>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</si>
  <si>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</si>
  <si>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</si>
  <si>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</si>
  <si>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</si>
  <si>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</si>
  <si>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</si>
  <si>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</si>
  <si>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</si>
  <si>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</si>
  <si>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</si>
  <si>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</si>
  <si>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</si>
  <si>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</si>
  <si>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</si>
  <si>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</si>
  <si>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</si>
  <si>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</si>
  <si>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</si>
  <si>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</si>
  <si>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</si>
  <si>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</si>
  <si>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</si>
  <si>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</si>
  <si>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</si>
  <si>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</si>
  <si>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</si>
  <si>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</si>
  <si>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</si>
  <si>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</si>
  <si>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</si>
  <si>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</si>
  <si>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</si>
  <si>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 xml:space="preserve">951 0104 9990072390 244 08 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</si>
  <si>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</si>
  <si>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</si>
  <si>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</si>
  <si>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</si>
  <si>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</si>
  <si>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</si>
  <si>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</si>
  <si>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 xml:space="preserve"> ф. 37 Ремонт сетей наружного освещения</t>
  </si>
  <si>
    <t xml:space="preserve"> ф. 37 Ремонт КТП</t>
  </si>
  <si>
    <t>951 0503 0710028610 244 36</t>
  </si>
  <si>
    <t>951 0503 1210028340 244 00</t>
  </si>
  <si>
    <t>951 0801 1010028590 611 00</t>
  </si>
  <si>
    <t>951 1001 1510028250 312 00</t>
  </si>
  <si>
    <t>951 1101 1110028360 244 00</t>
  </si>
  <si>
    <t>951 0113 9990085040 540 00</t>
  </si>
  <si>
    <t>951 0113 9990028600 853 00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</si>
  <si>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</si>
  <si>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</si>
  <si>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</si>
  <si>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</si>
  <si>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</si>
  <si>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</si>
  <si>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</si>
  <si>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</si>
  <si>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</si>
  <si>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</si>
  <si>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</si>
  <si>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</si>
  <si>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</si>
  <si>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</si>
  <si>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</si>
  <si>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</si>
  <si>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 xml:space="preserve"> Расходы на отлов брод животн, дезинф </t>
  </si>
  <si>
    <t>посадка зеленых насождений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</si>
  <si>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</si>
  <si>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</si>
  <si>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</si>
  <si>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</si>
  <si>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Глава Аджминистрации Кагальницкого с/п</t>
  </si>
  <si>
    <t>951 0502 0520028780 244 00</t>
  </si>
  <si>
    <t>Ф. 00 прочие расходы штрафы</t>
  </si>
  <si>
    <t>951 0503 0910028530 244 00</t>
  </si>
  <si>
    <t>ф.00 развитие мун.службы обучение</t>
  </si>
  <si>
    <t>заработная плата  ф130</t>
  </si>
  <si>
    <t>начисления на опл.труда ф130</t>
  </si>
  <si>
    <t>ПП"Транспортная система ф130</t>
  </si>
  <si>
    <t>951 0409 0410028380 244 00</t>
  </si>
  <si>
    <t>ПП"Безопасность движения ф130</t>
  </si>
  <si>
    <t>951 0409 0420028390 244 00</t>
  </si>
  <si>
    <t>0409</t>
  </si>
  <si>
    <t>951 0412 9990028990 245 00</t>
  </si>
  <si>
    <t>0412</t>
  </si>
  <si>
    <t>Непрограммные расходы топосъемка ф 00</t>
  </si>
  <si>
    <t>Непрограммные расходы топосъемка ф 23</t>
  </si>
  <si>
    <t>951 0503 0910028520 244 01</t>
  </si>
  <si>
    <t>951 0502 0520028700 244 00</t>
  </si>
  <si>
    <t>ф 00 запчасти объектов теплоснабжения</t>
  </si>
  <si>
    <t>951 0409 9990028970 540 00</t>
  </si>
  <si>
    <t>ф 00 ремонт объектов теплоснабжения</t>
  </si>
  <si>
    <t>951 0502 0520028650 244 00</t>
  </si>
  <si>
    <t>через банковские счета</t>
  </si>
  <si>
    <t>через финансовые органы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</si>
  <si>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</si>
  <si>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</si>
  <si>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</si>
  <si>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</si>
  <si>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</si>
  <si>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</si>
  <si>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</si>
  <si>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</si>
  <si>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</si>
  <si>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</si>
  <si>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</si>
  <si>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</si>
  <si>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</si>
  <si>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</si>
  <si>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</si>
  <si>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</si>
  <si>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</si>
  <si>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</si>
  <si>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</si>
  <si>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</si>
  <si>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</si>
  <si>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</si>
  <si>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</si>
  <si>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</si>
  <si>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</si>
  <si>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</si>
  <si>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</si>
  <si>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</si>
  <si>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</si>
  <si>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</si>
  <si>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</si>
  <si>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</si>
  <si>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</si>
  <si>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</si>
  <si>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</si>
  <si>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</si>
  <si>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</si>
  <si>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</si>
  <si>
    <t>106 06033 10 4000 110</t>
  </si>
  <si>
    <t>01.01.2018</t>
  </si>
  <si>
    <t>1 января 2018 г.</t>
  </si>
  <si>
    <t>на 01.01.18г.</t>
  </si>
  <si>
    <t xml:space="preserve">                    3. Источники финансирования дефицита бюджета на 01.01.2018г</t>
  </si>
  <si>
    <t>951 0503 0710028610 244 00</t>
  </si>
  <si>
    <t>951 0503 0710028460 244 00</t>
  </si>
  <si>
    <t xml:space="preserve">Ф. 00 прочие расходы </t>
  </si>
  <si>
    <t>Е.И.Целенко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</si>
</sst>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Alignment="1"/>
    <xf numFmtId="2" fontId="0" fillId="0" borderId="1" xfId="0" applyNumberFormat="1" applyFill="1" applyBorder="1"/>
    <xf numFmtId="49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7" fillId="0" borderId="0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/>
    <xf numFmtId="49" fontId="7" fillId="0" borderId="1" xfId="0" applyNumberFormat="1" applyFont="1" applyBorder="1"/>
    <xf numFmtId="49" fontId="7" fillId="0" borderId="31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7" fillId="0" borderId="0" xfId="0" applyFont="1" applyBorder="1"/>
    <xf numFmtId="2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/>
    <xf numFmtId="165" fontId="7" fillId="0" borderId="0" xfId="0" applyNumberFormat="1" applyFont="1"/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32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3" fontId="7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5" fillId="0" borderId="2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Continuous"/>
    </xf>
    <xf numFmtId="2" fontId="3" fillId="0" borderId="0" xfId="0" applyNumberFormat="1" applyFont="1" applyFill="1"/>
    <xf numFmtId="49" fontId="3" fillId="0" borderId="2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49" fontId="3" fillId="0" borderId="20" xfId="0" applyNumberFormat="1" applyFont="1" applyFill="1" applyBorder="1"/>
    <xf numFmtId="0" fontId="8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164" fontId="9" fillId="0" borderId="2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wrapText="1" indent="2"/>
    </xf>
    <xf numFmtId="0" fontId="9" fillId="0" borderId="29" xfId="0" applyFont="1" applyFill="1" applyBorder="1" applyAlignment="1">
      <alignment horizontal="center" wrapText="1"/>
    </xf>
    <xf numFmtId="164" fontId="9" fillId="3" borderId="2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left" wrapText="1"/>
    </xf>
    <xf numFmtId="0" fontId="10" fillId="0" borderId="0" xfId="0" applyFont="1" applyFill="1"/>
    <xf numFmtId="49" fontId="9" fillId="0" borderId="19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/>
    <xf numFmtId="43" fontId="2" fillId="2" borderId="17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9" fillId="0" borderId="35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view="pageBreakPreview" zoomScaleNormal="100" zoomScaleSheetLayoutView="100" workbookViewId="0">
      <selection activeCell="E64" sqref="E64"/>
    </sheetView>
  </sheetViews>
  <sheetFormatPr defaultRowHeight="12.75"/>
  <cols>
    <col min="1" max="1" width="39.7109375" style="71" customWidth="1"/>
    <col min="2" max="2" width="4.5703125" style="71" customWidth="1"/>
    <col min="3" max="3" width="20.5703125" style="71" customWidth="1"/>
    <col min="4" max="4" width="17.5703125" style="72" customWidth="1"/>
    <col min="5" max="5" width="21.85546875" style="70" customWidth="1"/>
    <col min="6" max="6" width="14.42578125" style="72" customWidth="1"/>
    <col min="7" max="7" width="14" style="72" customWidth="1"/>
    <col min="8" max="8" width="14.5703125" style="72" customWidth="1"/>
    <col min="9" max="9" width="15.42578125" style="1" customWidth="1"/>
    <col min="10" max="16384" width="9.140625" style="1"/>
  </cols>
  <sheetData>
    <row r="1" spans="1:9" ht="14.25" customHeight="1">
      <c r="A1" s="230" t="s">
        <v>123</v>
      </c>
      <c r="B1" s="231"/>
      <c r="C1" s="231"/>
      <c r="D1" s="231"/>
      <c r="E1" s="231"/>
      <c r="F1" s="231"/>
      <c r="G1" s="231"/>
      <c r="H1" s="231"/>
    </row>
    <row r="2" spans="1:9" ht="12" customHeight="1">
      <c r="A2" s="230" t="s">
        <v>124</v>
      </c>
      <c r="B2" s="231"/>
      <c r="C2" s="231"/>
      <c r="D2" s="231"/>
      <c r="E2" s="231"/>
      <c r="F2" s="231"/>
      <c r="G2" s="231"/>
      <c r="H2" s="231"/>
      <c r="I2" s="153"/>
    </row>
    <row r="3" spans="1:9" ht="12" customHeight="1">
      <c r="A3" s="230" t="s">
        <v>125</v>
      </c>
      <c r="B3" s="231"/>
      <c r="C3" s="231"/>
      <c r="D3" s="231"/>
      <c r="E3" s="231"/>
      <c r="F3" s="231"/>
      <c r="G3" s="231"/>
      <c r="H3" s="232"/>
      <c r="I3" s="73"/>
    </row>
    <row r="4" spans="1:9" ht="12.75" customHeight="1">
      <c r="A4" s="233" t="s">
        <v>126</v>
      </c>
      <c r="B4" s="234"/>
      <c r="C4" s="234"/>
      <c r="D4" s="234"/>
      <c r="E4" s="234"/>
      <c r="F4" s="234"/>
      <c r="G4" s="234"/>
      <c r="H4" s="70"/>
      <c r="I4" s="154" t="s">
        <v>127</v>
      </c>
    </row>
    <row r="5" spans="1:9" ht="12.75" customHeight="1">
      <c r="A5" s="155"/>
      <c r="B5" s="152"/>
      <c r="C5" s="152"/>
      <c r="D5" s="156"/>
      <c r="E5" s="74"/>
      <c r="F5" s="152"/>
      <c r="G5" s="152"/>
      <c r="H5" s="157" t="s">
        <v>128</v>
      </c>
      <c r="I5" s="158" t="s">
        <v>129</v>
      </c>
    </row>
    <row r="6" spans="1:9" ht="14.1" customHeight="1">
      <c r="A6" s="156" t="s">
        <v>130</v>
      </c>
      <c r="B6" s="156"/>
      <c r="D6" s="159"/>
      <c r="E6" s="160"/>
      <c r="F6" s="156" t="s">
        <v>339</v>
      </c>
      <c r="G6" s="156"/>
      <c r="H6" s="161" t="s">
        <v>131</v>
      </c>
      <c r="I6" s="76" t="s">
        <v>338</v>
      </c>
    </row>
    <row r="7" spans="1:9" ht="18" customHeight="1">
      <c r="A7" s="159" t="s">
        <v>132</v>
      </c>
      <c r="B7" s="159"/>
      <c r="D7" s="162"/>
      <c r="E7" s="157"/>
      <c r="F7" s="162"/>
      <c r="G7" s="162"/>
      <c r="H7" s="161"/>
      <c r="I7" s="163"/>
    </row>
    <row r="8" spans="1:9" ht="9.75" customHeight="1">
      <c r="A8" s="159" t="s">
        <v>133</v>
      </c>
      <c r="B8" s="159"/>
      <c r="C8" s="159"/>
      <c r="D8" s="162"/>
      <c r="E8" s="157"/>
      <c r="F8" s="162"/>
      <c r="G8" s="162"/>
      <c r="H8" s="161"/>
      <c r="I8" s="163"/>
    </row>
    <row r="9" spans="1:9" ht="9.75" customHeight="1">
      <c r="A9" s="159" t="s">
        <v>134</v>
      </c>
      <c r="B9" s="159"/>
      <c r="C9" s="159"/>
      <c r="D9" s="162"/>
      <c r="E9" s="157"/>
      <c r="F9" s="162"/>
      <c r="G9" s="162"/>
      <c r="H9" s="161" t="s">
        <v>135</v>
      </c>
      <c r="I9" s="163"/>
    </row>
    <row r="10" spans="1:9" ht="12.75" customHeight="1">
      <c r="A10" s="159" t="s">
        <v>136</v>
      </c>
      <c r="B10" s="1"/>
      <c r="C10" s="9" t="s">
        <v>137</v>
      </c>
      <c r="D10" s="9"/>
      <c r="E10" s="75"/>
      <c r="F10" s="9"/>
      <c r="G10" s="9"/>
      <c r="H10" s="161" t="s">
        <v>138</v>
      </c>
      <c r="I10" s="163"/>
    </row>
    <row r="11" spans="1:9" ht="15.75" customHeight="1">
      <c r="A11" s="159" t="s">
        <v>139</v>
      </c>
      <c r="B11" s="159"/>
      <c r="C11" s="159"/>
      <c r="D11" s="162"/>
      <c r="E11" s="157"/>
      <c r="F11" s="162"/>
      <c r="G11" s="162"/>
      <c r="H11" s="161" t="s">
        <v>140</v>
      </c>
      <c r="I11" s="163"/>
    </row>
    <row r="12" spans="1:9" ht="14.1" customHeight="1">
      <c r="A12" s="159" t="s">
        <v>141</v>
      </c>
      <c r="B12" s="159"/>
      <c r="C12" s="159"/>
      <c r="D12" s="162"/>
      <c r="E12" s="157"/>
      <c r="F12" s="162"/>
      <c r="G12" s="162"/>
      <c r="H12" s="161"/>
      <c r="I12" s="158"/>
    </row>
    <row r="13" spans="1:9" ht="14.1" customHeight="1">
      <c r="A13" s="159" t="s">
        <v>142</v>
      </c>
      <c r="B13" s="159"/>
      <c r="C13" s="159"/>
      <c r="D13" s="162"/>
      <c r="E13" s="157"/>
      <c r="F13" s="162"/>
      <c r="G13" s="162"/>
      <c r="H13" s="161" t="s">
        <v>143</v>
      </c>
      <c r="I13" s="158" t="s">
        <v>144</v>
      </c>
    </row>
    <row r="14" spans="1:9" ht="14.25" customHeight="1">
      <c r="B14" s="164"/>
      <c r="C14" s="164" t="s">
        <v>145</v>
      </c>
      <c r="D14" s="162"/>
      <c r="E14" s="157"/>
      <c r="F14" s="162"/>
      <c r="G14" s="162"/>
      <c r="H14" s="157"/>
      <c r="I14" s="165"/>
    </row>
    <row r="15" spans="1:9" ht="12.75" customHeight="1">
      <c r="A15" s="166"/>
      <c r="B15" s="167"/>
      <c r="C15" s="167"/>
      <c r="D15" s="168"/>
      <c r="E15" s="235" t="s">
        <v>5</v>
      </c>
      <c r="F15" s="236"/>
      <c r="G15" s="236"/>
      <c r="H15" s="236"/>
      <c r="I15" s="237"/>
    </row>
    <row r="16" spans="1:9" ht="9.9499999999999993" customHeight="1">
      <c r="A16" s="169"/>
      <c r="B16" s="169" t="s">
        <v>16</v>
      </c>
      <c r="C16" s="169" t="s">
        <v>146</v>
      </c>
      <c r="D16" s="170" t="s">
        <v>34</v>
      </c>
      <c r="E16" s="171" t="s">
        <v>43</v>
      </c>
      <c r="F16" s="172" t="s">
        <v>6</v>
      </c>
      <c r="G16" s="168" t="s">
        <v>9</v>
      </c>
      <c r="H16" s="173"/>
      <c r="I16" s="174" t="s">
        <v>2</v>
      </c>
    </row>
    <row r="17" spans="1:10" ht="9.9499999999999993" customHeight="1">
      <c r="A17" s="169" t="s">
        <v>4</v>
      </c>
      <c r="B17" s="169" t="s">
        <v>17</v>
      </c>
      <c r="C17" s="169" t="s">
        <v>39</v>
      </c>
      <c r="D17" s="170" t="s">
        <v>35</v>
      </c>
      <c r="E17" s="175" t="s">
        <v>44</v>
      </c>
      <c r="F17" s="170" t="s">
        <v>7</v>
      </c>
      <c r="G17" s="170" t="s">
        <v>10</v>
      </c>
      <c r="H17" s="176" t="s">
        <v>11</v>
      </c>
      <c r="I17" s="174" t="s">
        <v>3</v>
      </c>
    </row>
    <row r="18" spans="1:10" ht="9.9499999999999993" customHeight="1">
      <c r="A18" s="177"/>
      <c r="B18" s="169" t="s">
        <v>18</v>
      </c>
      <c r="C18" s="169" t="s">
        <v>40</v>
      </c>
      <c r="D18" s="170" t="s">
        <v>3</v>
      </c>
      <c r="E18" s="175" t="s">
        <v>45</v>
      </c>
      <c r="F18" s="170" t="s">
        <v>8</v>
      </c>
      <c r="G18" s="170"/>
      <c r="H18" s="176"/>
      <c r="I18" s="174"/>
    </row>
    <row r="19" spans="1:10" ht="9.9499999999999993" customHeight="1">
      <c r="A19" s="177"/>
      <c r="B19" s="178"/>
      <c r="C19" s="179"/>
      <c r="D19" s="180"/>
      <c r="E19" s="175"/>
      <c r="F19" s="170"/>
      <c r="G19" s="170"/>
      <c r="H19" s="176"/>
      <c r="I19" s="174"/>
    </row>
    <row r="20" spans="1:10" ht="9.9499999999999993" customHeight="1">
      <c r="A20" s="181">
        <v>1</v>
      </c>
      <c r="B20" s="182">
        <v>2</v>
      </c>
      <c r="C20" s="182">
        <v>3</v>
      </c>
      <c r="D20" s="168" t="s">
        <v>0</v>
      </c>
      <c r="E20" s="173" t="s">
        <v>1</v>
      </c>
      <c r="F20" s="168" t="s">
        <v>12</v>
      </c>
      <c r="G20" s="168" t="s">
        <v>13</v>
      </c>
      <c r="H20" s="171" t="s">
        <v>14</v>
      </c>
      <c r="I20" s="174" t="s">
        <v>15</v>
      </c>
    </row>
    <row r="21" spans="1:10">
      <c r="A21" s="183" t="s">
        <v>147</v>
      </c>
      <c r="B21" s="184"/>
      <c r="C21" s="184" t="s">
        <v>148</v>
      </c>
      <c r="D21" s="185">
        <f>D22+D95</f>
        <v>16514198.640000001</v>
      </c>
      <c r="E21" s="185">
        <f>E22+E95</f>
        <v>16502529.899999999</v>
      </c>
      <c r="F21" s="185" t="s">
        <v>184</v>
      </c>
      <c r="G21" s="185" t="s">
        <v>184</v>
      </c>
      <c r="H21" s="185">
        <f>E21</f>
        <v>16502529.899999999</v>
      </c>
      <c r="I21" s="185">
        <f>D21-H21</f>
        <v>11668.740000002086</v>
      </c>
      <c r="J21" s="37"/>
    </row>
    <row r="22" spans="1:10" ht="21" customHeight="1">
      <c r="A22" s="186" t="s">
        <v>149</v>
      </c>
      <c r="B22" s="184"/>
      <c r="C22" s="184" t="s">
        <v>150</v>
      </c>
      <c r="D22" s="185">
        <f>D23+D39+D47+D65+D69+D73+D84+D80</f>
        <v>11036700</v>
      </c>
      <c r="E22" s="185">
        <f>E23+E39+E47+E65+E69+E73+E84+E92+E80+E77</f>
        <v>11025058.26</v>
      </c>
      <c r="F22" s="185" t="s">
        <v>184</v>
      </c>
      <c r="G22" s="185" t="s">
        <v>184</v>
      </c>
      <c r="H22" s="185">
        <f t="shared" ref="H22:H86" si="0">E22</f>
        <v>11025058.26</v>
      </c>
      <c r="I22" s="185">
        <f t="shared" ref="I22:I86" si="1">D22-H22</f>
        <v>11641.740000000224</v>
      </c>
      <c r="J22" s="37"/>
    </row>
    <row r="23" spans="1:10" ht="15.95" customHeight="1">
      <c r="A23" s="186"/>
      <c r="B23" s="184"/>
      <c r="C23" s="184" t="s">
        <v>151</v>
      </c>
      <c r="D23" s="185">
        <f>D24</f>
        <v>2966400</v>
      </c>
      <c r="E23" s="185">
        <f>E24</f>
        <v>3260909.69</v>
      </c>
      <c r="F23" s="185" t="s">
        <v>184</v>
      </c>
      <c r="G23" s="185" t="s">
        <v>184</v>
      </c>
      <c r="H23" s="185">
        <f t="shared" si="0"/>
        <v>3260909.69</v>
      </c>
      <c r="I23" s="185">
        <f t="shared" si="1"/>
        <v>-294509.68999999994</v>
      </c>
      <c r="J23" s="37"/>
    </row>
    <row r="24" spans="1:10" ht="15.95" customHeight="1">
      <c r="A24" s="187" t="s">
        <v>152</v>
      </c>
      <c r="B24" s="184"/>
      <c r="C24" s="184" t="s">
        <v>153</v>
      </c>
      <c r="D24" s="185">
        <f>D25+D31</f>
        <v>2966400</v>
      </c>
      <c r="E24" s="185">
        <f>E25+E31+E35</f>
        <v>3260909.69</v>
      </c>
      <c r="F24" s="185" t="s">
        <v>184</v>
      </c>
      <c r="G24" s="185" t="s">
        <v>184</v>
      </c>
      <c r="H24" s="185">
        <f t="shared" si="0"/>
        <v>3260909.69</v>
      </c>
      <c r="I24" s="185">
        <f t="shared" si="1"/>
        <v>-294509.68999999994</v>
      </c>
      <c r="J24" s="37"/>
    </row>
    <row r="25" spans="1:10" ht="15.95" customHeight="1">
      <c r="A25" s="186"/>
      <c r="B25" s="184"/>
      <c r="C25" s="184" t="s">
        <v>154</v>
      </c>
      <c r="D25" s="185">
        <v>2966400</v>
      </c>
      <c r="E25" s="185">
        <f>E27+E28+E29+E30</f>
        <v>3048344.94</v>
      </c>
      <c r="F25" s="185" t="s">
        <v>184</v>
      </c>
      <c r="G25" s="185" t="s">
        <v>184</v>
      </c>
      <c r="H25" s="185">
        <f t="shared" si="0"/>
        <v>3048344.94</v>
      </c>
      <c r="I25" s="185">
        <f t="shared" si="1"/>
        <v>-81944.939999999944</v>
      </c>
      <c r="J25" s="37"/>
    </row>
    <row r="26" spans="1:10" ht="15.95" hidden="1" customHeight="1">
      <c r="A26" s="186"/>
      <c r="B26" s="184"/>
      <c r="C26" s="184" t="s">
        <v>155</v>
      </c>
      <c r="D26" s="185"/>
      <c r="E26" s="185"/>
      <c r="F26" s="185" t="s">
        <v>184</v>
      </c>
      <c r="G26" s="185" t="s">
        <v>184</v>
      </c>
      <c r="H26" s="185">
        <f t="shared" si="0"/>
        <v>0</v>
      </c>
      <c r="I26" s="185">
        <f t="shared" si="1"/>
        <v>0</v>
      </c>
      <c r="J26" s="37"/>
    </row>
    <row r="27" spans="1:10" ht="15.95" customHeight="1">
      <c r="A27" s="186"/>
      <c r="B27" s="184"/>
      <c r="C27" s="184" t="s">
        <v>156</v>
      </c>
      <c r="D27" s="185">
        <v>0</v>
      </c>
      <c r="E27" s="188">
        <v>3030109.58</v>
      </c>
      <c r="F27" s="185" t="s">
        <v>184</v>
      </c>
      <c r="G27" s="185" t="s">
        <v>184</v>
      </c>
      <c r="H27" s="185">
        <f t="shared" si="0"/>
        <v>3030109.58</v>
      </c>
      <c r="I27" s="185">
        <f t="shared" si="1"/>
        <v>-3030109.58</v>
      </c>
      <c r="J27" s="37"/>
    </row>
    <row r="28" spans="1:10" ht="15.95" customHeight="1">
      <c r="A28" s="186"/>
      <c r="B28" s="184"/>
      <c r="C28" s="184" t="s">
        <v>299</v>
      </c>
      <c r="D28" s="185">
        <v>0</v>
      </c>
      <c r="E28" s="188">
        <v>6524.46</v>
      </c>
      <c r="F28" s="185">
        <v>0</v>
      </c>
      <c r="G28" s="185">
        <v>0</v>
      </c>
      <c r="H28" s="185">
        <f t="shared" si="0"/>
        <v>6524.46</v>
      </c>
      <c r="I28" s="185">
        <f t="shared" si="1"/>
        <v>-6524.46</v>
      </c>
      <c r="J28" s="37"/>
    </row>
    <row r="29" spans="1:10" ht="15.95" customHeight="1">
      <c r="A29" s="186"/>
      <c r="B29" s="184"/>
      <c r="C29" s="184" t="s">
        <v>300</v>
      </c>
      <c r="D29" s="185">
        <v>0</v>
      </c>
      <c r="E29" s="188">
        <v>11710.9</v>
      </c>
      <c r="F29" s="185">
        <v>0</v>
      </c>
      <c r="G29" s="185">
        <v>0</v>
      </c>
      <c r="H29" s="185">
        <f>E29</f>
        <v>11710.9</v>
      </c>
      <c r="I29" s="185">
        <f t="shared" si="1"/>
        <v>-11710.9</v>
      </c>
      <c r="J29" s="37"/>
    </row>
    <row r="30" spans="1:10" ht="15.95" customHeight="1">
      <c r="A30" s="186"/>
      <c r="B30" s="184"/>
      <c r="C30" s="184" t="s">
        <v>301</v>
      </c>
      <c r="D30" s="185">
        <v>0</v>
      </c>
      <c r="E30" s="188">
        <v>0</v>
      </c>
      <c r="F30" s="185">
        <v>0</v>
      </c>
      <c r="G30" s="185">
        <v>0</v>
      </c>
      <c r="H30" s="185">
        <f>E30</f>
        <v>0</v>
      </c>
      <c r="I30" s="185">
        <f t="shared" si="1"/>
        <v>0</v>
      </c>
      <c r="J30" s="37"/>
    </row>
    <row r="31" spans="1:10" ht="15.95" customHeight="1">
      <c r="A31" s="186"/>
      <c r="B31" s="184"/>
      <c r="C31" s="184" t="s">
        <v>157</v>
      </c>
      <c r="D31" s="185">
        <v>0</v>
      </c>
      <c r="E31" s="185">
        <f>E32+E33+E34</f>
        <v>198599.48</v>
      </c>
      <c r="F31" s="185" t="s">
        <v>184</v>
      </c>
      <c r="G31" s="185" t="s">
        <v>184</v>
      </c>
      <c r="H31" s="185">
        <f t="shared" si="0"/>
        <v>198599.48</v>
      </c>
      <c r="I31" s="185">
        <f t="shared" si="1"/>
        <v>-198599.48</v>
      </c>
      <c r="J31" s="37"/>
    </row>
    <row r="32" spans="1:10" ht="15.95" customHeight="1">
      <c r="A32" s="189"/>
      <c r="B32" s="184"/>
      <c r="C32" s="184" t="s">
        <v>158</v>
      </c>
      <c r="D32" s="185">
        <v>0</v>
      </c>
      <c r="E32" s="188">
        <v>198211.38</v>
      </c>
      <c r="F32" s="185" t="s">
        <v>184</v>
      </c>
      <c r="G32" s="185" t="s">
        <v>184</v>
      </c>
      <c r="H32" s="185">
        <f t="shared" si="0"/>
        <v>198211.38</v>
      </c>
      <c r="I32" s="185">
        <f t="shared" si="1"/>
        <v>-198211.38</v>
      </c>
      <c r="J32" s="37"/>
    </row>
    <row r="33" spans="1:10" ht="15.95" customHeight="1">
      <c r="A33" s="189"/>
      <c r="B33" s="184"/>
      <c r="C33" s="184" t="s">
        <v>223</v>
      </c>
      <c r="D33" s="185">
        <v>0</v>
      </c>
      <c r="E33" s="188">
        <v>80.599999999999994</v>
      </c>
      <c r="F33" s="185" t="s">
        <v>184</v>
      </c>
      <c r="G33" s="185" t="s">
        <v>184</v>
      </c>
      <c r="H33" s="185">
        <f t="shared" si="0"/>
        <v>80.599999999999994</v>
      </c>
      <c r="I33" s="185">
        <f t="shared" si="1"/>
        <v>-80.599999999999994</v>
      </c>
      <c r="J33" s="37"/>
    </row>
    <row r="34" spans="1:10" ht="15.95" customHeight="1">
      <c r="A34" s="189"/>
      <c r="B34" s="184"/>
      <c r="C34" s="184" t="s">
        <v>159</v>
      </c>
      <c r="D34" s="185">
        <v>0</v>
      </c>
      <c r="E34" s="188">
        <v>307.5</v>
      </c>
      <c r="F34" s="185">
        <v>0</v>
      </c>
      <c r="G34" s="185">
        <v>0</v>
      </c>
      <c r="H34" s="185">
        <f t="shared" si="0"/>
        <v>307.5</v>
      </c>
      <c r="I34" s="185">
        <f t="shared" si="1"/>
        <v>-307.5</v>
      </c>
      <c r="J34" s="37"/>
    </row>
    <row r="35" spans="1:10" ht="15.95" customHeight="1">
      <c r="A35" s="189"/>
      <c r="B35" s="184"/>
      <c r="C35" s="184" t="s">
        <v>160</v>
      </c>
      <c r="D35" s="185">
        <v>0</v>
      </c>
      <c r="E35" s="185">
        <f>E36+E38+E37</f>
        <v>13965.27</v>
      </c>
      <c r="F35" s="185">
        <v>0</v>
      </c>
      <c r="G35" s="185">
        <v>0</v>
      </c>
      <c r="H35" s="185">
        <f t="shared" si="0"/>
        <v>13965.27</v>
      </c>
      <c r="I35" s="185">
        <f t="shared" si="1"/>
        <v>-13965.27</v>
      </c>
      <c r="J35" s="37"/>
    </row>
    <row r="36" spans="1:10" ht="15.95" customHeight="1">
      <c r="A36" s="189"/>
      <c r="B36" s="184"/>
      <c r="C36" s="184" t="s">
        <v>161</v>
      </c>
      <c r="D36" s="185">
        <v>0</v>
      </c>
      <c r="E36" s="188">
        <v>12647.58</v>
      </c>
      <c r="F36" s="185">
        <v>0</v>
      </c>
      <c r="G36" s="185">
        <v>0</v>
      </c>
      <c r="H36" s="185">
        <f t="shared" si="0"/>
        <v>12647.58</v>
      </c>
      <c r="I36" s="185">
        <f t="shared" si="1"/>
        <v>-12647.58</v>
      </c>
      <c r="J36" s="37"/>
    </row>
    <row r="37" spans="1:10" ht="15.95" customHeight="1">
      <c r="A37" s="189"/>
      <c r="B37" s="184"/>
      <c r="C37" s="184" t="s">
        <v>196</v>
      </c>
      <c r="D37" s="185">
        <v>0</v>
      </c>
      <c r="E37" s="188">
        <v>471.57</v>
      </c>
      <c r="F37" s="185">
        <v>0</v>
      </c>
      <c r="G37" s="185">
        <v>0</v>
      </c>
      <c r="H37" s="185">
        <f t="shared" si="0"/>
        <v>471.57</v>
      </c>
      <c r="I37" s="185">
        <f t="shared" si="1"/>
        <v>-471.57</v>
      </c>
      <c r="J37" s="37"/>
    </row>
    <row r="38" spans="1:10" ht="15.95" customHeight="1">
      <c r="A38" s="189"/>
      <c r="B38" s="184"/>
      <c r="C38" s="184" t="s">
        <v>162</v>
      </c>
      <c r="D38" s="185">
        <v>0</v>
      </c>
      <c r="E38" s="188">
        <v>846.12</v>
      </c>
      <c r="F38" s="185">
        <v>0</v>
      </c>
      <c r="G38" s="185">
        <v>0</v>
      </c>
      <c r="H38" s="185">
        <f t="shared" si="0"/>
        <v>846.12</v>
      </c>
      <c r="I38" s="185">
        <f t="shared" si="1"/>
        <v>-846.12</v>
      </c>
      <c r="J38" s="37"/>
    </row>
    <row r="39" spans="1:10" ht="15.95" customHeight="1">
      <c r="A39" s="190"/>
      <c r="B39" s="184"/>
      <c r="C39" s="191" t="s">
        <v>163</v>
      </c>
      <c r="D39" s="185">
        <f>D40</f>
        <v>314400</v>
      </c>
      <c r="E39" s="185">
        <f>E40</f>
        <v>97145.200000000012</v>
      </c>
      <c r="F39" s="185" t="s">
        <v>184</v>
      </c>
      <c r="G39" s="185" t="s">
        <v>184</v>
      </c>
      <c r="H39" s="185">
        <f t="shared" si="0"/>
        <v>97145.200000000012</v>
      </c>
      <c r="I39" s="185">
        <f t="shared" si="1"/>
        <v>217254.8</v>
      </c>
      <c r="J39" s="37"/>
    </row>
    <row r="40" spans="1:10" ht="15.95" customHeight="1">
      <c r="A40" s="187" t="s">
        <v>197</v>
      </c>
      <c r="B40" s="192"/>
      <c r="C40" s="191" t="s">
        <v>164</v>
      </c>
      <c r="D40" s="185">
        <f>D41</f>
        <v>314400</v>
      </c>
      <c r="E40" s="185">
        <f>E41+E45</f>
        <v>97145.200000000012</v>
      </c>
      <c r="F40" s="185" t="s">
        <v>184</v>
      </c>
      <c r="G40" s="185" t="s">
        <v>184</v>
      </c>
      <c r="H40" s="185">
        <f t="shared" si="0"/>
        <v>97145.200000000012</v>
      </c>
      <c r="I40" s="185">
        <f t="shared" si="1"/>
        <v>217254.8</v>
      </c>
      <c r="J40" s="37"/>
    </row>
    <row r="41" spans="1:10" ht="15.95" customHeight="1">
      <c r="A41" s="190"/>
      <c r="B41" s="192"/>
      <c r="C41" s="191" t="s">
        <v>165</v>
      </c>
      <c r="D41" s="185">
        <v>314400</v>
      </c>
      <c r="E41" s="185">
        <f>E42+E44+E43</f>
        <v>97145.200000000012</v>
      </c>
      <c r="F41" s="185" t="s">
        <v>184</v>
      </c>
      <c r="G41" s="185" t="s">
        <v>184</v>
      </c>
      <c r="H41" s="185">
        <f t="shared" si="0"/>
        <v>97145.200000000012</v>
      </c>
      <c r="I41" s="185">
        <f t="shared" si="1"/>
        <v>217254.8</v>
      </c>
      <c r="J41" s="37"/>
    </row>
    <row r="42" spans="1:10" ht="15.95" customHeight="1">
      <c r="A42" s="190"/>
      <c r="B42" s="192"/>
      <c r="C42" s="191" t="s">
        <v>166</v>
      </c>
      <c r="D42" s="185">
        <v>0</v>
      </c>
      <c r="E42" s="188">
        <v>97083.71</v>
      </c>
      <c r="F42" s="185">
        <v>0</v>
      </c>
      <c r="G42" s="185">
        <v>0</v>
      </c>
      <c r="H42" s="185">
        <f t="shared" si="0"/>
        <v>97083.71</v>
      </c>
      <c r="I42" s="185">
        <f t="shared" si="1"/>
        <v>-97083.71</v>
      </c>
      <c r="J42" s="37"/>
    </row>
    <row r="43" spans="1:10" ht="15.95" customHeight="1">
      <c r="A43" s="190"/>
      <c r="B43" s="192"/>
      <c r="C43" s="191" t="s">
        <v>222</v>
      </c>
      <c r="D43" s="185">
        <v>0</v>
      </c>
      <c r="E43" s="188">
        <v>61.49</v>
      </c>
      <c r="F43" s="185">
        <v>0</v>
      </c>
      <c r="G43" s="185">
        <v>0</v>
      </c>
      <c r="H43" s="185">
        <f t="shared" si="0"/>
        <v>61.49</v>
      </c>
      <c r="I43" s="185">
        <f t="shared" si="1"/>
        <v>-61.49</v>
      </c>
      <c r="J43" s="37"/>
    </row>
    <row r="44" spans="1:10" ht="15.95" customHeight="1">
      <c r="A44" s="190"/>
      <c r="B44" s="192"/>
      <c r="C44" s="191" t="s">
        <v>302</v>
      </c>
      <c r="D44" s="185">
        <v>0</v>
      </c>
      <c r="E44" s="188">
        <v>0</v>
      </c>
      <c r="F44" s="185">
        <v>0</v>
      </c>
      <c r="G44" s="185">
        <v>0</v>
      </c>
      <c r="H44" s="185">
        <f t="shared" si="0"/>
        <v>0</v>
      </c>
      <c r="I44" s="185">
        <f t="shared" si="1"/>
        <v>0</v>
      </c>
      <c r="J44" s="37"/>
    </row>
    <row r="45" spans="1:10" ht="15.95" customHeight="1">
      <c r="A45" s="190"/>
      <c r="B45" s="192"/>
      <c r="C45" s="191" t="s">
        <v>303</v>
      </c>
      <c r="D45" s="185">
        <f>D46</f>
        <v>0</v>
      </c>
      <c r="E45" s="185">
        <f>E46</f>
        <v>0</v>
      </c>
      <c r="F45" s="185">
        <v>0</v>
      </c>
      <c r="G45" s="185">
        <v>0</v>
      </c>
      <c r="H45" s="185">
        <f t="shared" si="0"/>
        <v>0</v>
      </c>
      <c r="I45" s="185">
        <f t="shared" si="1"/>
        <v>0</v>
      </c>
      <c r="J45" s="37"/>
    </row>
    <row r="46" spans="1:10" ht="15.95" customHeight="1">
      <c r="A46" s="190"/>
      <c r="B46" s="192"/>
      <c r="C46" s="191" t="s">
        <v>304</v>
      </c>
      <c r="D46" s="185">
        <v>0</v>
      </c>
      <c r="E46" s="188">
        <v>0</v>
      </c>
      <c r="F46" s="185">
        <v>0</v>
      </c>
      <c r="G46" s="185">
        <v>0</v>
      </c>
      <c r="H46" s="185">
        <f t="shared" si="0"/>
        <v>0</v>
      </c>
      <c r="I46" s="185">
        <f t="shared" si="1"/>
        <v>0</v>
      </c>
      <c r="J46" s="37"/>
    </row>
    <row r="47" spans="1:10" ht="15.95" customHeight="1">
      <c r="A47" s="190"/>
      <c r="B47" s="192"/>
      <c r="C47" s="191" t="s">
        <v>167</v>
      </c>
      <c r="D47" s="185">
        <f>D48+D53</f>
        <v>7603200</v>
      </c>
      <c r="E47" s="185">
        <f>E48+E53</f>
        <v>6974725.7800000003</v>
      </c>
      <c r="F47" s="185" t="s">
        <v>184</v>
      </c>
      <c r="G47" s="185" t="s">
        <v>184</v>
      </c>
      <c r="H47" s="185">
        <f t="shared" si="0"/>
        <v>6974725.7800000003</v>
      </c>
      <c r="I47" s="185">
        <f t="shared" si="1"/>
        <v>628474.21999999974</v>
      </c>
      <c r="J47" s="37"/>
    </row>
    <row r="48" spans="1:10" ht="15.95" customHeight="1">
      <c r="A48" s="187" t="s">
        <v>169</v>
      </c>
      <c r="B48" s="192"/>
      <c r="C48" s="191" t="s">
        <v>168</v>
      </c>
      <c r="D48" s="185">
        <f>D49</f>
        <v>1042900</v>
      </c>
      <c r="E48" s="185">
        <f>E49</f>
        <v>1039059.75</v>
      </c>
      <c r="F48" s="185" t="s">
        <v>184</v>
      </c>
      <c r="G48" s="185" t="s">
        <v>184</v>
      </c>
      <c r="H48" s="185">
        <f t="shared" si="0"/>
        <v>1039059.75</v>
      </c>
      <c r="I48" s="185">
        <f t="shared" si="1"/>
        <v>3840.25</v>
      </c>
      <c r="J48" s="37"/>
    </row>
    <row r="49" spans="1:10" ht="15.95" customHeight="1">
      <c r="A49" s="190"/>
      <c r="B49" s="192"/>
      <c r="C49" s="191" t="s">
        <v>170</v>
      </c>
      <c r="D49" s="185">
        <v>1042900</v>
      </c>
      <c r="E49" s="185">
        <f>E50+E51+E52</f>
        <v>1039059.75</v>
      </c>
      <c r="F49" s="185" t="s">
        <v>184</v>
      </c>
      <c r="G49" s="185" t="s">
        <v>184</v>
      </c>
      <c r="H49" s="185">
        <f t="shared" si="0"/>
        <v>1039059.75</v>
      </c>
      <c r="I49" s="185">
        <f t="shared" si="1"/>
        <v>3840.25</v>
      </c>
      <c r="J49" s="37"/>
    </row>
    <row r="50" spans="1:10" ht="15.95" customHeight="1">
      <c r="A50" s="190"/>
      <c r="B50" s="192"/>
      <c r="C50" s="191" t="s">
        <v>171</v>
      </c>
      <c r="D50" s="185">
        <v>0</v>
      </c>
      <c r="E50" s="188">
        <v>1030640.75</v>
      </c>
      <c r="F50" s="185" t="s">
        <v>184</v>
      </c>
      <c r="G50" s="185" t="s">
        <v>184</v>
      </c>
      <c r="H50" s="185">
        <f t="shared" si="0"/>
        <v>1030640.75</v>
      </c>
      <c r="I50" s="185">
        <f t="shared" si="1"/>
        <v>-1030640.75</v>
      </c>
      <c r="J50" s="37"/>
    </row>
    <row r="51" spans="1:10" ht="15.95" customHeight="1">
      <c r="A51" s="190"/>
      <c r="B51" s="192"/>
      <c r="C51" s="191" t="s">
        <v>198</v>
      </c>
      <c r="D51" s="185">
        <v>0</v>
      </c>
      <c r="E51" s="188">
        <v>8419</v>
      </c>
      <c r="F51" s="185" t="s">
        <v>184</v>
      </c>
      <c r="G51" s="185" t="s">
        <v>184</v>
      </c>
      <c r="H51" s="185">
        <f t="shared" si="0"/>
        <v>8419</v>
      </c>
      <c r="I51" s="185">
        <f t="shared" si="1"/>
        <v>-8419</v>
      </c>
      <c r="J51" s="37"/>
    </row>
    <row r="52" spans="1:10" ht="15.95" customHeight="1">
      <c r="A52" s="190"/>
      <c r="B52" s="192"/>
      <c r="C52" s="191" t="s">
        <v>227</v>
      </c>
      <c r="D52" s="185">
        <v>0</v>
      </c>
      <c r="E52" s="188">
        <v>0</v>
      </c>
      <c r="F52" s="185">
        <v>0</v>
      </c>
      <c r="G52" s="185">
        <v>0</v>
      </c>
      <c r="H52" s="185">
        <f t="shared" si="0"/>
        <v>0</v>
      </c>
      <c r="I52" s="185">
        <f t="shared" si="1"/>
        <v>0</v>
      </c>
      <c r="J52" s="37"/>
    </row>
    <row r="53" spans="1:10" ht="15.95" customHeight="1">
      <c r="A53" s="187" t="s">
        <v>199</v>
      </c>
      <c r="B53" s="192"/>
      <c r="C53" s="191" t="s">
        <v>172</v>
      </c>
      <c r="D53" s="185">
        <f>D60+D54</f>
        <v>6560300</v>
      </c>
      <c r="E53" s="185">
        <f>E54+E60</f>
        <v>5935666.0300000003</v>
      </c>
      <c r="F53" s="185" t="s">
        <v>184</v>
      </c>
      <c r="G53" s="185" t="s">
        <v>184</v>
      </c>
      <c r="H53" s="185">
        <f t="shared" si="0"/>
        <v>5935666.0300000003</v>
      </c>
      <c r="I53" s="185">
        <f t="shared" si="1"/>
        <v>624633.96999999974</v>
      </c>
      <c r="J53" s="37"/>
    </row>
    <row r="54" spans="1:10" ht="15.95" customHeight="1">
      <c r="A54" s="187"/>
      <c r="B54" s="192"/>
      <c r="C54" s="191" t="s">
        <v>305</v>
      </c>
      <c r="D54" s="185">
        <f>D55</f>
        <v>4151700</v>
      </c>
      <c r="E54" s="185">
        <f>E55</f>
        <v>1785042.86</v>
      </c>
      <c r="F54" s="185" t="s">
        <v>184</v>
      </c>
      <c r="G54" s="185" t="s">
        <v>184</v>
      </c>
      <c r="H54" s="185">
        <f t="shared" si="0"/>
        <v>1785042.86</v>
      </c>
      <c r="I54" s="185">
        <f t="shared" si="1"/>
        <v>2366657.1399999997</v>
      </c>
      <c r="J54" s="37"/>
    </row>
    <row r="55" spans="1:10" ht="15.95" customHeight="1">
      <c r="A55" s="190" t="s">
        <v>200</v>
      </c>
      <c r="B55" s="192"/>
      <c r="C55" s="191" t="s">
        <v>201</v>
      </c>
      <c r="D55" s="185">
        <v>4151700</v>
      </c>
      <c r="E55" s="185">
        <f>SUM(E56:E59)</f>
        <v>1785042.86</v>
      </c>
      <c r="F55" s="185" t="s">
        <v>184</v>
      </c>
      <c r="G55" s="185" t="s">
        <v>184</v>
      </c>
      <c r="H55" s="185">
        <f t="shared" si="0"/>
        <v>1785042.86</v>
      </c>
      <c r="I55" s="185">
        <f t="shared" si="1"/>
        <v>2366657.1399999997</v>
      </c>
      <c r="J55" s="37"/>
    </row>
    <row r="56" spans="1:10" ht="15.95" customHeight="1">
      <c r="A56" s="187"/>
      <c r="B56" s="192"/>
      <c r="C56" s="191" t="s">
        <v>202</v>
      </c>
      <c r="D56" s="185">
        <v>0</v>
      </c>
      <c r="E56" s="188">
        <v>1687165.82</v>
      </c>
      <c r="F56" s="185" t="s">
        <v>184</v>
      </c>
      <c r="G56" s="185" t="s">
        <v>184</v>
      </c>
      <c r="H56" s="185">
        <f t="shared" si="0"/>
        <v>1687165.82</v>
      </c>
      <c r="I56" s="185">
        <f t="shared" si="1"/>
        <v>-1687165.82</v>
      </c>
      <c r="J56" s="37"/>
    </row>
    <row r="57" spans="1:10" ht="15.95" customHeight="1">
      <c r="A57" s="187"/>
      <c r="B57" s="192"/>
      <c r="C57" s="191" t="s">
        <v>203</v>
      </c>
      <c r="D57" s="185">
        <v>0</v>
      </c>
      <c r="E57" s="188">
        <v>12417.01</v>
      </c>
      <c r="F57" s="185">
        <v>0</v>
      </c>
      <c r="G57" s="185">
        <v>0</v>
      </c>
      <c r="H57" s="185">
        <f t="shared" si="0"/>
        <v>12417.01</v>
      </c>
      <c r="I57" s="185">
        <f t="shared" si="1"/>
        <v>-12417.01</v>
      </c>
      <c r="J57" s="37"/>
    </row>
    <row r="58" spans="1:10" ht="15.95" customHeight="1">
      <c r="A58" s="187"/>
      <c r="B58" s="192"/>
      <c r="C58" s="191" t="s">
        <v>204</v>
      </c>
      <c r="D58" s="185">
        <v>0</v>
      </c>
      <c r="E58" s="188">
        <v>-5108.97</v>
      </c>
      <c r="F58" s="185">
        <v>0</v>
      </c>
      <c r="G58" s="185">
        <v>0</v>
      </c>
      <c r="H58" s="185">
        <f t="shared" si="0"/>
        <v>-5108.97</v>
      </c>
      <c r="I58" s="185">
        <f t="shared" si="1"/>
        <v>5108.97</v>
      </c>
      <c r="J58" s="37"/>
    </row>
    <row r="59" spans="1:10" ht="15.95" customHeight="1">
      <c r="A59" s="187"/>
      <c r="B59" s="192"/>
      <c r="C59" s="191" t="s">
        <v>337</v>
      </c>
      <c r="D59" s="185">
        <v>0</v>
      </c>
      <c r="E59" s="188">
        <v>90569</v>
      </c>
      <c r="F59" s="185"/>
      <c r="G59" s="185"/>
      <c r="H59" s="185">
        <f t="shared" si="0"/>
        <v>90569</v>
      </c>
      <c r="I59" s="185">
        <f t="shared" si="1"/>
        <v>-90569</v>
      </c>
      <c r="J59" s="37"/>
    </row>
    <row r="60" spans="1:10" ht="15.95" customHeight="1">
      <c r="A60" s="187"/>
      <c r="B60" s="192"/>
      <c r="C60" s="191" t="s">
        <v>205</v>
      </c>
      <c r="D60" s="185">
        <f>D61</f>
        <v>2408600</v>
      </c>
      <c r="E60" s="185">
        <f>E61</f>
        <v>4150623.17</v>
      </c>
      <c r="F60" s="185" t="s">
        <v>184</v>
      </c>
      <c r="G60" s="185" t="s">
        <v>184</v>
      </c>
      <c r="H60" s="185">
        <f t="shared" si="0"/>
        <v>4150623.17</v>
      </c>
      <c r="I60" s="185">
        <f t="shared" si="1"/>
        <v>-1742023.17</v>
      </c>
      <c r="J60" s="37"/>
    </row>
    <row r="61" spans="1:10" ht="15.95" customHeight="1">
      <c r="A61" s="190" t="s">
        <v>206</v>
      </c>
      <c r="B61" s="192"/>
      <c r="C61" s="191" t="s">
        <v>207</v>
      </c>
      <c r="D61" s="185">
        <v>2408600</v>
      </c>
      <c r="E61" s="185">
        <f>E62+E63+E64</f>
        <v>4150623.17</v>
      </c>
      <c r="F61" s="185" t="s">
        <v>184</v>
      </c>
      <c r="G61" s="185" t="s">
        <v>184</v>
      </c>
      <c r="H61" s="185">
        <f t="shared" si="0"/>
        <v>4150623.17</v>
      </c>
      <c r="I61" s="185">
        <f t="shared" si="1"/>
        <v>-1742023.17</v>
      </c>
      <c r="J61" s="37"/>
    </row>
    <row r="62" spans="1:10" ht="24.75" customHeight="1">
      <c r="A62" s="193"/>
      <c r="B62" s="192"/>
      <c r="C62" s="191" t="s">
        <v>208</v>
      </c>
      <c r="D62" s="185">
        <v>0</v>
      </c>
      <c r="E62" s="188">
        <v>4133239.33</v>
      </c>
      <c r="F62" s="185" t="s">
        <v>184</v>
      </c>
      <c r="G62" s="185" t="s">
        <v>184</v>
      </c>
      <c r="H62" s="185">
        <f t="shared" si="0"/>
        <v>4133239.33</v>
      </c>
      <c r="I62" s="185">
        <f t="shared" si="1"/>
        <v>-4133239.33</v>
      </c>
      <c r="J62" s="37"/>
    </row>
    <row r="63" spans="1:10" ht="15.95" customHeight="1">
      <c r="A63" s="190"/>
      <c r="B63" s="192"/>
      <c r="C63" s="191" t="s">
        <v>209</v>
      </c>
      <c r="D63" s="185">
        <v>0</v>
      </c>
      <c r="E63" s="188">
        <v>18456.84</v>
      </c>
      <c r="F63" s="185" t="s">
        <v>184</v>
      </c>
      <c r="G63" s="185" t="s">
        <v>184</v>
      </c>
      <c r="H63" s="185">
        <f t="shared" si="0"/>
        <v>18456.84</v>
      </c>
      <c r="I63" s="185">
        <f t="shared" si="1"/>
        <v>-18456.84</v>
      </c>
      <c r="J63" s="37"/>
    </row>
    <row r="64" spans="1:10" ht="15.95" customHeight="1">
      <c r="A64" s="190"/>
      <c r="B64" s="192"/>
      <c r="C64" s="191" t="s">
        <v>210</v>
      </c>
      <c r="D64" s="185">
        <v>0</v>
      </c>
      <c r="E64" s="188">
        <v>-1073</v>
      </c>
      <c r="F64" s="185" t="s">
        <v>184</v>
      </c>
      <c r="G64" s="185" t="s">
        <v>184</v>
      </c>
      <c r="H64" s="185">
        <f t="shared" si="0"/>
        <v>-1073</v>
      </c>
      <c r="I64" s="185">
        <f t="shared" si="1"/>
        <v>1073</v>
      </c>
      <c r="J64" s="37"/>
    </row>
    <row r="65" spans="1:10" ht="15.95" customHeight="1">
      <c r="A65" s="187" t="s">
        <v>211</v>
      </c>
      <c r="B65" s="192"/>
      <c r="C65" s="191" t="s">
        <v>173</v>
      </c>
      <c r="D65" s="185">
        <f>D66</f>
        <v>88800</v>
      </c>
      <c r="E65" s="185">
        <f>E66</f>
        <v>59900</v>
      </c>
      <c r="F65" s="185" t="s">
        <v>184</v>
      </c>
      <c r="G65" s="185" t="s">
        <v>184</v>
      </c>
      <c r="H65" s="185">
        <f t="shared" si="0"/>
        <v>59900</v>
      </c>
      <c r="I65" s="185">
        <f t="shared" si="1"/>
        <v>28900</v>
      </c>
      <c r="J65" s="37"/>
    </row>
    <row r="66" spans="1:10" ht="15.95" customHeight="1">
      <c r="A66" s="190"/>
      <c r="B66" s="192"/>
      <c r="C66" s="191" t="s">
        <v>174</v>
      </c>
      <c r="D66" s="185">
        <f>D67</f>
        <v>88800</v>
      </c>
      <c r="E66" s="185">
        <f>E67</f>
        <v>59900</v>
      </c>
      <c r="F66" s="185" t="s">
        <v>184</v>
      </c>
      <c r="G66" s="185" t="s">
        <v>184</v>
      </c>
      <c r="H66" s="185">
        <f t="shared" si="0"/>
        <v>59900</v>
      </c>
      <c r="I66" s="185">
        <f t="shared" si="1"/>
        <v>28900</v>
      </c>
      <c r="J66" s="37"/>
    </row>
    <row r="67" spans="1:10" ht="15.95" customHeight="1">
      <c r="A67" s="190"/>
      <c r="B67" s="192"/>
      <c r="C67" s="191" t="s">
        <v>175</v>
      </c>
      <c r="D67" s="185">
        <v>88800</v>
      </c>
      <c r="E67" s="185">
        <f>E68</f>
        <v>59900</v>
      </c>
      <c r="F67" s="185" t="s">
        <v>184</v>
      </c>
      <c r="G67" s="185" t="s">
        <v>184</v>
      </c>
      <c r="H67" s="185">
        <f t="shared" si="0"/>
        <v>59900</v>
      </c>
      <c r="I67" s="185">
        <f t="shared" si="1"/>
        <v>28900</v>
      </c>
      <c r="J67" s="37"/>
    </row>
    <row r="68" spans="1:10" ht="15.95" customHeight="1">
      <c r="A68" s="190"/>
      <c r="B68" s="192"/>
      <c r="C68" s="191" t="s">
        <v>176</v>
      </c>
      <c r="D68" s="185">
        <v>0</v>
      </c>
      <c r="E68" s="188">
        <v>59900</v>
      </c>
      <c r="F68" s="185" t="s">
        <v>184</v>
      </c>
      <c r="G68" s="185" t="s">
        <v>184</v>
      </c>
      <c r="H68" s="185">
        <f t="shared" si="0"/>
        <v>59900</v>
      </c>
      <c r="I68" s="185">
        <f t="shared" si="1"/>
        <v>-59900</v>
      </c>
      <c r="J68" s="37"/>
    </row>
    <row r="69" spans="1:10" ht="39" customHeight="1">
      <c r="A69" s="187" t="s">
        <v>212</v>
      </c>
      <c r="B69" s="192"/>
      <c r="C69" s="191" t="s">
        <v>213</v>
      </c>
      <c r="D69" s="185">
        <f t="shared" ref="D69:E71" si="2">D70</f>
        <v>8300</v>
      </c>
      <c r="E69" s="185">
        <f t="shared" si="2"/>
        <v>0</v>
      </c>
      <c r="F69" s="185" t="s">
        <v>184</v>
      </c>
      <c r="G69" s="185" t="s">
        <v>184</v>
      </c>
      <c r="H69" s="185">
        <f t="shared" si="0"/>
        <v>0</v>
      </c>
      <c r="I69" s="185">
        <f t="shared" si="1"/>
        <v>8300</v>
      </c>
      <c r="J69" s="37"/>
    </row>
    <row r="70" spans="1:10" ht="15.95" customHeight="1">
      <c r="A70" s="187"/>
      <c r="B70" s="192"/>
      <c r="C70" s="191" t="s">
        <v>214</v>
      </c>
      <c r="D70" s="185">
        <f t="shared" si="2"/>
        <v>8300</v>
      </c>
      <c r="E70" s="185">
        <f t="shared" si="2"/>
        <v>0</v>
      </c>
      <c r="F70" s="185" t="s">
        <v>184</v>
      </c>
      <c r="G70" s="185" t="s">
        <v>184</v>
      </c>
      <c r="H70" s="185">
        <f t="shared" si="0"/>
        <v>0</v>
      </c>
      <c r="I70" s="185">
        <f t="shared" si="1"/>
        <v>8300</v>
      </c>
      <c r="J70" s="37"/>
    </row>
    <row r="71" spans="1:10" ht="15.95" customHeight="1">
      <c r="A71" s="187"/>
      <c r="B71" s="192"/>
      <c r="C71" s="191" t="s">
        <v>215</v>
      </c>
      <c r="D71" s="185">
        <f t="shared" si="2"/>
        <v>8300</v>
      </c>
      <c r="E71" s="185">
        <f t="shared" si="2"/>
        <v>0</v>
      </c>
      <c r="F71" s="185" t="s">
        <v>184</v>
      </c>
      <c r="G71" s="185" t="s">
        <v>184</v>
      </c>
      <c r="H71" s="185">
        <f t="shared" si="0"/>
        <v>0</v>
      </c>
      <c r="I71" s="185">
        <f t="shared" si="1"/>
        <v>8300</v>
      </c>
      <c r="J71" s="37"/>
    </row>
    <row r="72" spans="1:10" ht="15.95" customHeight="1">
      <c r="A72" s="187"/>
      <c r="B72" s="192"/>
      <c r="C72" s="191" t="s">
        <v>216</v>
      </c>
      <c r="D72" s="185">
        <v>8300</v>
      </c>
      <c r="E72" s="188">
        <v>0</v>
      </c>
      <c r="F72" s="185" t="s">
        <v>184</v>
      </c>
      <c r="G72" s="185" t="s">
        <v>184</v>
      </c>
      <c r="H72" s="185">
        <f t="shared" si="0"/>
        <v>0</v>
      </c>
      <c r="I72" s="185">
        <f t="shared" si="1"/>
        <v>8300</v>
      </c>
      <c r="J72" s="37"/>
    </row>
    <row r="73" spans="1:10" ht="15.95" customHeight="1">
      <c r="A73" s="187"/>
      <c r="B73" s="192"/>
      <c r="C73" s="191" t="s">
        <v>177</v>
      </c>
      <c r="D73" s="185">
        <f t="shared" ref="D73:E75" si="3">D74</f>
        <v>51600</v>
      </c>
      <c r="E73" s="185">
        <f t="shared" si="3"/>
        <v>501233.3</v>
      </c>
      <c r="F73" s="185" t="s">
        <v>184</v>
      </c>
      <c r="G73" s="185" t="s">
        <v>184</v>
      </c>
      <c r="H73" s="185">
        <f t="shared" si="0"/>
        <v>501233.3</v>
      </c>
      <c r="I73" s="185">
        <f t="shared" si="1"/>
        <v>-449633.3</v>
      </c>
      <c r="J73" s="37"/>
    </row>
    <row r="74" spans="1:10" ht="15.95" customHeight="1">
      <c r="A74" s="187" t="s">
        <v>217</v>
      </c>
      <c r="B74" s="192"/>
      <c r="C74" s="194" t="s">
        <v>178</v>
      </c>
      <c r="D74" s="195">
        <f t="shared" si="3"/>
        <v>51600</v>
      </c>
      <c r="E74" s="195">
        <f t="shared" si="3"/>
        <v>501233.3</v>
      </c>
      <c r="F74" s="185" t="s">
        <v>184</v>
      </c>
      <c r="G74" s="185" t="s">
        <v>184</v>
      </c>
      <c r="H74" s="185">
        <f t="shared" si="0"/>
        <v>501233.3</v>
      </c>
      <c r="I74" s="185">
        <f t="shared" si="1"/>
        <v>-449633.3</v>
      </c>
      <c r="J74" s="37"/>
    </row>
    <row r="75" spans="1:10" ht="15.95" customHeight="1">
      <c r="A75" s="187"/>
      <c r="B75" s="192"/>
      <c r="C75" s="194" t="s">
        <v>218</v>
      </c>
      <c r="D75" s="195">
        <f t="shared" si="3"/>
        <v>51600</v>
      </c>
      <c r="E75" s="195">
        <f t="shared" si="3"/>
        <v>501233.3</v>
      </c>
      <c r="F75" s="185" t="s">
        <v>184</v>
      </c>
      <c r="G75" s="185" t="s">
        <v>184</v>
      </c>
      <c r="H75" s="185">
        <f t="shared" si="0"/>
        <v>501233.3</v>
      </c>
      <c r="I75" s="185">
        <f t="shared" si="1"/>
        <v>-449633.3</v>
      </c>
      <c r="J75" s="37"/>
    </row>
    <row r="76" spans="1:10" ht="15.95" customHeight="1">
      <c r="A76" s="187"/>
      <c r="B76" s="192"/>
      <c r="C76" s="194" t="s">
        <v>186</v>
      </c>
      <c r="D76" s="195">
        <v>51600</v>
      </c>
      <c r="E76" s="196">
        <v>501233.3</v>
      </c>
      <c r="F76" s="185" t="s">
        <v>184</v>
      </c>
      <c r="G76" s="185" t="s">
        <v>184</v>
      </c>
      <c r="H76" s="185">
        <f t="shared" si="0"/>
        <v>501233.3</v>
      </c>
      <c r="I76" s="185">
        <f t="shared" si="1"/>
        <v>-449633.3</v>
      </c>
      <c r="J76" s="37"/>
    </row>
    <row r="77" spans="1:10" ht="15.95" customHeight="1">
      <c r="A77" s="187"/>
      <c r="B77" s="192"/>
      <c r="C77" s="194" t="s">
        <v>228</v>
      </c>
      <c r="D77" s="195">
        <f>D78</f>
        <v>0</v>
      </c>
      <c r="E77" s="195">
        <f>E78</f>
        <v>8444.2900000000009</v>
      </c>
      <c r="F77" s="185" t="s">
        <v>184</v>
      </c>
      <c r="G77" s="185" t="s">
        <v>184</v>
      </c>
      <c r="H77" s="185">
        <f t="shared" si="0"/>
        <v>8444.2900000000009</v>
      </c>
      <c r="I77" s="185">
        <f t="shared" si="1"/>
        <v>-8444.2900000000009</v>
      </c>
      <c r="J77" s="37"/>
    </row>
    <row r="78" spans="1:10" ht="15.95" customHeight="1">
      <c r="A78" s="187"/>
      <c r="B78" s="192"/>
      <c r="C78" s="194" t="s">
        <v>229</v>
      </c>
      <c r="D78" s="195">
        <f>D79</f>
        <v>0</v>
      </c>
      <c r="E78" s="195">
        <f>E79</f>
        <v>8444.2900000000009</v>
      </c>
      <c r="F78" s="185" t="s">
        <v>184</v>
      </c>
      <c r="G78" s="185" t="s">
        <v>184</v>
      </c>
      <c r="H78" s="185">
        <f t="shared" si="0"/>
        <v>8444.2900000000009</v>
      </c>
      <c r="I78" s="185">
        <f t="shared" si="1"/>
        <v>-8444.2900000000009</v>
      </c>
      <c r="J78" s="37"/>
    </row>
    <row r="79" spans="1:10" ht="15.95" customHeight="1">
      <c r="A79" s="187"/>
      <c r="B79" s="192"/>
      <c r="C79" s="194" t="s">
        <v>230</v>
      </c>
      <c r="D79" s="195">
        <v>0</v>
      </c>
      <c r="E79" s="196">
        <v>8444.2900000000009</v>
      </c>
      <c r="F79" s="185" t="s">
        <v>184</v>
      </c>
      <c r="G79" s="185" t="s">
        <v>184</v>
      </c>
      <c r="H79" s="185">
        <f t="shared" si="0"/>
        <v>8444.2900000000009</v>
      </c>
      <c r="I79" s="185">
        <f t="shared" si="1"/>
        <v>-8444.2900000000009</v>
      </c>
      <c r="J79" s="37"/>
    </row>
    <row r="80" spans="1:10" ht="15.95" customHeight="1">
      <c r="A80" s="187" t="s">
        <v>306</v>
      </c>
      <c r="B80" s="192"/>
      <c r="C80" s="194" t="s">
        <v>307</v>
      </c>
      <c r="D80" s="195">
        <f t="shared" ref="D80:E82" si="4">D81</f>
        <v>0</v>
      </c>
      <c r="E80" s="195">
        <f t="shared" si="4"/>
        <v>96000</v>
      </c>
      <c r="F80" s="185" t="s">
        <v>184</v>
      </c>
      <c r="G80" s="185" t="s">
        <v>184</v>
      </c>
      <c r="H80" s="185">
        <f t="shared" si="0"/>
        <v>96000</v>
      </c>
      <c r="I80" s="185">
        <f t="shared" si="1"/>
        <v>-96000</v>
      </c>
      <c r="J80" s="37"/>
    </row>
    <row r="81" spans="1:10" ht="15.95" customHeight="1">
      <c r="A81" s="190"/>
      <c r="B81" s="192"/>
      <c r="C81" s="194" t="s">
        <v>308</v>
      </c>
      <c r="D81" s="195">
        <f t="shared" si="4"/>
        <v>0</v>
      </c>
      <c r="E81" s="195">
        <f t="shared" si="4"/>
        <v>96000</v>
      </c>
      <c r="F81" s="185" t="s">
        <v>184</v>
      </c>
      <c r="G81" s="185" t="s">
        <v>184</v>
      </c>
      <c r="H81" s="185">
        <f t="shared" si="0"/>
        <v>96000</v>
      </c>
      <c r="I81" s="185">
        <f t="shared" si="1"/>
        <v>-96000</v>
      </c>
      <c r="J81" s="37"/>
    </row>
    <row r="82" spans="1:10" ht="15.95" customHeight="1">
      <c r="A82" s="190"/>
      <c r="B82" s="192"/>
      <c r="C82" s="194" t="s">
        <v>309</v>
      </c>
      <c r="D82" s="195">
        <f t="shared" si="4"/>
        <v>0</v>
      </c>
      <c r="E82" s="195">
        <f t="shared" si="4"/>
        <v>96000</v>
      </c>
      <c r="F82" s="185" t="s">
        <v>184</v>
      </c>
      <c r="G82" s="185" t="s">
        <v>184</v>
      </c>
      <c r="H82" s="185">
        <f t="shared" si="0"/>
        <v>96000</v>
      </c>
      <c r="I82" s="185">
        <f t="shared" si="1"/>
        <v>-96000</v>
      </c>
      <c r="J82" s="37"/>
    </row>
    <row r="83" spans="1:10" ht="15.95" customHeight="1">
      <c r="A83" s="190"/>
      <c r="B83" s="192"/>
      <c r="C83" s="194" t="s">
        <v>310</v>
      </c>
      <c r="D83" s="195">
        <v>0</v>
      </c>
      <c r="E83" s="196">
        <v>96000</v>
      </c>
      <c r="F83" s="185" t="s">
        <v>184</v>
      </c>
      <c r="G83" s="185" t="s">
        <v>184</v>
      </c>
      <c r="H83" s="185">
        <f t="shared" si="0"/>
        <v>96000</v>
      </c>
      <c r="I83" s="185">
        <f t="shared" si="1"/>
        <v>-96000</v>
      </c>
      <c r="J83" s="37"/>
    </row>
    <row r="84" spans="1:10" ht="15.95" customHeight="1">
      <c r="A84" s="187" t="s">
        <v>179</v>
      </c>
      <c r="B84" s="192"/>
      <c r="C84" s="194" t="s">
        <v>180</v>
      </c>
      <c r="D84" s="195">
        <f>D90</f>
        <v>4000</v>
      </c>
      <c r="E84" s="195">
        <f>E90+E85+E88</f>
        <v>26700</v>
      </c>
      <c r="F84" s="185" t="s">
        <v>184</v>
      </c>
      <c r="G84" s="185" t="s">
        <v>184</v>
      </c>
      <c r="H84" s="185">
        <f t="shared" si="0"/>
        <v>26700</v>
      </c>
      <c r="I84" s="185">
        <f t="shared" si="1"/>
        <v>-22700</v>
      </c>
      <c r="J84" s="37"/>
    </row>
    <row r="85" spans="1:10" ht="15.95" customHeight="1">
      <c r="A85" s="197"/>
      <c r="B85" s="192"/>
      <c r="C85" s="194" t="s">
        <v>311</v>
      </c>
      <c r="D85" s="195">
        <v>0</v>
      </c>
      <c r="E85" s="195">
        <f>E86</f>
        <v>0</v>
      </c>
      <c r="F85" s="185" t="s">
        <v>184</v>
      </c>
      <c r="G85" s="185" t="s">
        <v>184</v>
      </c>
      <c r="H85" s="185">
        <f t="shared" si="0"/>
        <v>0</v>
      </c>
      <c r="I85" s="185">
        <f t="shared" si="1"/>
        <v>0</v>
      </c>
      <c r="J85" s="37"/>
    </row>
    <row r="86" spans="1:10" ht="15.95" customHeight="1">
      <c r="A86" s="197"/>
      <c r="B86" s="192"/>
      <c r="C86" s="194" t="s">
        <v>231</v>
      </c>
      <c r="D86" s="195">
        <v>0</v>
      </c>
      <c r="E86" s="195">
        <f>E87</f>
        <v>0</v>
      </c>
      <c r="F86" s="185" t="s">
        <v>184</v>
      </c>
      <c r="G86" s="185" t="s">
        <v>184</v>
      </c>
      <c r="H86" s="185">
        <f t="shared" si="0"/>
        <v>0</v>
      </c>
      <c r="I86" s="185">
        <f t="shared" si="1"/>
        <v>0</v>
      </c>
      <c r="J86" s="37"/>
    </row>
    <row r="87" spans="1:10" ht="15.95" customHeight="1">
      <c r="A87" s="190"/>
      <c r="B87" s="192"/>
      <c r="C87" s="194" t="s">
        <v>312</v>
      </c>
      <c r="D87" s="195">
        <v>0</v>
      </c>
      <c r="E87" s="196">
        <v>0</v>
      </c>
      <c r="F87" s="185" t="s">
        <v>184</v>
      </c>
      <c r="G87" s="185" t="s">
        <v>184</v>
      </c>
      <c r="H87" s="185">
        <f t="shared" ref="H87:H111" si="5">E87</f>
        <v>0</v>
      </c>
      <c r="I87" s="185">
        <f t="shared" ref="I87:I111" si="6">D87-H87</f>
        <v>0</v>
      </c>
      <c r="J87" s="37"/>
    </row>
    <row r="88" spans="1:10" ht="15.95" customHeight="1">
      <c r="A88" s="197"/>
      <c r="B88" s="192"/>
      <c r="C88" s="194" t="s">
        <v>224</v>
      </c>
      <c r="D88" s="195">
        <f>D89</f>
        <v>0</v>
      </c>
      <c r="E88" s="195">
        <f>E89</f>
        <v>26700</v>
      </c>
      <c r="F88" s="185" t="s">
        <v>184</v>
      </c>
      <c r="G88" s="185" t="s">
        <v>184</v>
      </c>
      <c r="H88" s="185">
        <f t="shared" si="5"/>
        <v>26700</v>
      </c>
      <c r="I88" s="185">
        <f t="shared" si="6"/>
        <v>-26700</v>
      </c>
      <c r="J88" s="37"/>
    </row>
    <row r="89" spans="1:10" ht="15.95" customHeight="1">
      <c r="A89" s="197"/>
      <c r="B89" s="192"/>
      <c r="C89" s="194" t="s">
        <v>225</v>
      </c>
      <c r="D89" s="195">
        <v>0</v>
      </c>
      <c r="E89" s="196">
        <v>26700</v>
      </c>
      <c r="F89" s="185" t="s">
        <v>184</v>
      </c>
      <c r="G89" s="185" t="s">
        <v>184</v>
      </c>
      <c r="H89" s="185">
        <f t="shared" si="5"/>
        <v>26700</v>
      </c>
      <c r="I89" s="185">
        <f t="shared" si="6"/>
        <v>-26700</v>
      </c>
      <c r="J89" s="37"/>
    </row>
    <row r="90" spans="1:10" ht="15.95" customHeight="1">
      <c r="A90" s="197"/>
      <c r="B90" s="192"/>
      <c r="C90" s="194" t="s">
        <v>181</v>
      </c>
      <c r="D90" s="195">
        <f>D91</f>
        <v>4000</v>
      </c>
      <c r="E90" s="195">
        <v>0</v>
      </c>
      <c r="F90" s="185" t="s">
        <v>184</v>
      </c>
      <c r="G90" s="185" t="s">
        <v>184</v>
      </c>
      <c r="H90" s="185">
        <f t="shared" si="5"/>
        <v>0</v>
      </c>
      <c r="I90" s="185">
        <f t="shared" si="6"/>
        <v>4000</v>
      </c>
      <c r="J90" s="37"/>
    </row>
    <row r="91" spans="1:10" ht="15.95" customHeight="1">
      <c r="A91" s="197"/>
      <c r="B91" s="192"/>
      <c r="C91" s="194" t="s">
        <v>182</v>
      </c>
      <c r="D91" s="195">
        <v>4000</v>
      </c>
      <c r="E91" s="196">
        <v>0</v>
      </c>
      <c r="F91" s="185">
        <v>0</v>
      </c>
      <c r="G91" s="185">
        <v>0</v>
      </c>
      <c r="H91" s="185">
        <f t="shared" si="5"/>
        <v>0</v>
      </c>
      <c r="I91" s="185">
        <f t="shared" si="6"/>
        <v>4000</v>
      </c>
      <c r="J91" s="37"/>
    </row>
    <row r="92" spans="1:10" ht="15.95" customHeight="1">
      <c r="A92" s="197"/>
      <c r="B92" s="192"/>
      <c r="C92" s="194" t="s">
        <v>313</v>
      </c>
      <c r="D92" s="195">
        <v>0</v>
      </c>
      <c r="E92" s="195">
        <f>E93</f>
        <v>0</v>
      </c>
      <c r="F92" s="185">
        <v>0</v>
      </c>
      <c r="G92" s="185">
        <v>0</v>
      </c>
      <c r="H92" s="185">
        <f t="shared" si="5"/>
        <v>0</v>
      </c>
      <c r="I92" s="185">
        <f t="shared" si="6"/>
        <v>0</v>
      </c>
      <c r="J92" s="37"/>
    </row>
    <row r="93" spans="1:10" ht="15.95" customHeight="1">
      <c r="A93" s="197"/>
      <c r="B93" s="192"/>
      <c r="C93" s="198" t="s">
        <v>314</v>
      </c>
      <c r="D93" s="195">
        <v>0</v>
      </c>
      <c r="E93" s="195">
        <f>E94</f>
        <v>0</v>
      </c>
      <c r="F93" s="185">
        <v>0</v>
      </c>
      <c r="G93" s="185">
        <v>0</v>
      </c>
      <c r="H93" s="185">
        <f t="shared" si="5"/>
        <v>0</v>
      </c>
      <c r="I93" s="185">
        <f t="shared" si="6"/>
        <v>0</v>
      </c>
      <c r="J93" s="37"/>
    </row>
    <row r="94" spans="1:10" ht="15.95" customHeight="1">
      <c r="A94" s="197"/>
      <c r="B94" s="192"/>
      <c r="C94" s="194" t="s">
        <v>315</v>
      </c>
      <c r="D94" s="195">
        <v>0</v>
      </c>
      <c r="E94" s="196">
        <v>0</v>
      </c>
      <c r="F94" s="185">
        <v>0</v>
      </c>
      <c r="G94" s="185">
        <v>0</v>
      </c>
      <c r="H94" s="185">
        <f t="shared" si="5"/>
        <v>0</v>
      </c>
      <c r="I94" s="185">
        <f t="shared" si="6"/>
        <v>0</v>
      </c>
      <c r="J94" s="37"/>
    </row>
    <row r="95" spans="1:10" ht="15.95" customHeight="1">
      <c r="A95" s="190"/>
      <c r="B95" s="192"/>
      <c r="C95" s="194" t="s">
        <v>219</v>
      </c>
      <c r="D95" s="195">
        <f>D96+D111+D110</f>
        <v>5477498.6399999997</v>
      </c>
      <c r="E95" s="195">
        <f>E96+E110+E111</f>
        <v>5477471.6399999997</v>
      </c>
      <c r="F95" s="185">
        <v>0</v>
      </c>
      <c r="G95" s="185">
        <v>0</v>
      </c>
      <c r="H95" s="185">
        <f t="shared" si="5"/>
        <v>5477471.6399999997</v>
      </c>
      <c r="I95" s="185">
        <f t="shared" si="6"/>
        <v>27</v>
      </c>
      <c r="J95" s="37"/>
    </row>
    <row r="96" spans="1:10" ht="15.95" customHeight="1">
      <c r="A96" s="190"/>
      <c r="B96" s="192"/>
      <c r="C96" s="194" t="s">
        <v>183</v>
      </c>
      <c r="D96" s="195">
        <f>D97+D100+D104</f>
        <v>5476300</v>
      </c>
      <c r="E96" s="195">
        <f>E97+E100+E104</f>
        <v>5476273</v>
      </c>
      <c r="F96" s="185" t="s">
        <v>184</v>
      </c>
      <c r="G96" s="185" t="s">
        <v>316</v>
      </c>
      <c r="H96" s="185">
        <f t="shared" si="5"/>
        <v>5476273</v>
      </c>
      <c r="I96" s="185">
        <f t="shared" si="6"/>
        <v>27</v>
      </c>
      <c r="J96" s="37"/>
    </row>
    <row r="97" spans="1:10" ht="15.95" customHeight="1">
      <c r="A97" s="190"/>
      <c r="B97" s="192"/>
      <c r="C97" s="194" t="s">
        <v>317</v>
      </c>
      <c r="D97" s="195">
        <f>D98</f>
        <v>3080500</v>
      </c>
      <c r="E97" s="195">
        <f>E98</f>
        <v>3080500</v>
      </c>
      <c r="F97" s="185" t="s">
        <v>184</v>
      </c>
      <c r="G97" s="185">
        <v>0</v>
      </c>
      <c r="H97" s="185">
        <f t="shared" si="5"/>
        <v>3080500</v>
      </c>
      <c r="I97" s="185">
        <f t="shared" si="6"/>
        <v>0</v>
      </c>
      <c r="J97" s="37"/>
    </row>
    <row r="98" spans="1:10" ht="15.95" customHeight="1">
      <c r="A98" s="190"/>
      <c r="B98" s="192"/>
      <c r="C98" s="194" t="s">
        <v>318</v>
      </c>
      <c r="D98" s="195">
        <f>D99</f>
        <v>3080500</v>
      </c>
      <c r="E98" s="195">
        <f>E99</f>
        <v>3080500</v>
      </c>
      <c r="F98" s="185" t="s">
        <v>184</v>
      </c>
      <c r="G98" s="185">
        <v>0</v>
      </c>
      <c r="H98" s="185">
        <f t="shared" si="5"/>
        <v>3080500</v>
      </c>
      <c r="I98" s="185">
        <f t="shared" si="6"/>
        <v>0</v>
      </c>
      <c r="J98" s="37"/>
    </row>
    <row r="99" spans="1:10" ht="25.5" customHeight="1">
      <c r="A99" s="187" t="s">
        <v>185</v>
      </c>
      <c r="B99" s="192"/>
      <c r="C99" s="194" t="s">
        <v>319</v>
      </c>
      <c r="D99" s="195">
        <v>3080500</v>
      </c>
      <c r="E99" s="196">
        <v>3080500</v>
      </c>
      <c r="F99" s="185" t="s">
        <v>184</v>
      </c>
      <c r="G99" s="185">
        <v>0</v>
      </c>
      <c r="H99" s="185">
        <f t="shared" si="5"/>
        <v>3080500</v>
      </c>
      <c r="I99" s="185">
        <f t="shared" si="6"/>
        <v>0</v>
      </c>
      <c r="J99" s="37"/>
    </row>
    <row r="100" spans="1:10" ht="15.95" customHeight="1">
      <c r="A100" s="187"/>
      <c r="B100" s="192"/>
      <c r="C100" s="194" t="s">
        <v>320</v>
      </c>
      <c r="D100" s="195">
        <f>D101+D103</f>
        <v>346900</v>
      </c>
      <c r="E100" s="195">
        <f>E101+E103</f>
        <v>346900</v>
      </c>
      <c r="F100" s="185" t="s">
        <v>184</v>
      </c>
      <c r="G100" s="185" t="s">
        <v>184</v>
      </c>
      <c r="H100" s="185">
        <f t="shared" si="5"/>
        <v>346900</v>
      </c>
      <c r="I100" s="185">
        <f t="shared" si="6"/>
        <v>0</v>
      </c>
      <c r="J100" s="37"/>
    </row>
    <row r="101" spans="1:10" ht="15.95" customHeight="1">
      <c r="A101" s="187"/>
      <c r="B101" s="192"/>
      <c r="C101" s="194" t="s">
        <v>321</v>
      </c>
      <c r="D101" s="195">
        <f>D102</f>
        <v>346700</v>
      </c>
      <c r="E101" s="195">
        <f>E102</f>
        <v>346700</v>
      </c>
      <c r="F101" s="185" t="s">
        <v>184</v>
      </c>
      <c r="G101" s="185" t="s">
        <v>184</v>
      </c>
      <c r="H101" s="185">
        <f t="shared" si="5"/>
        <v>346700</v>
      </c>
      <c r="I101" s="185">
        <f t="shared" si="6"/>
        <v>0</v>
      </c>
      <c r="J101" s="37"/>
    </row>
    <row r="102" spans="1:10" ht="33" customHeight="1">
      <c r="A102" s="199" t="s">
        <v>220</v>
      </c>
      <c r="B102" s="192"/>
      <c r="C102" s="194" t="s">
        <v>322</v>
      </c>
      <c r="D102" s="195">
        <v>346700</v>
      </c>
      <c r="E102" s="196">
        <v>346700</v>
      </c>
      <c r="F102" s="185" t="s">
        <v>184</v>
      </c>
      <c r="G102" s="185" t="s">
        <v>184</v>
      </c>
      <c r="H102" s="185">
        <f t="shared" si="5"/>
        <v>346700</v>
      </c>
      <c r="I102" s="185">
        <f t="shared" si="6"/>
        <v>0</v>
      </c>
      <c r="J102" s="37"/>
    </row>
    <row r="103" spans="1:10" ht="36.75" customHeight="1">
      <c r="A103" s="200" t="s">
        <v>221</v>
      </c>
      <c r="B103" s="192"/>
      <c r="C103" s="194" t="s">
        <v>323</v>
      </c>
      <c r="D103" s="195">
        <v>200</v>
      </c>
      <c r="E103" s="196">
        <v>200</v>
      </c>
      <c r="F103" s="185" t="s">
        <v>184</v>
      </c>
      <c r="G103" s="185" t="s">
        <v>184</v>
      </c>
      <c r="H103" s="185">
        <f t="shared" si="5"/>
        <v>200</v>
      </c>
      <c r="I103" s="185">
        <f t="shared" si="6"/>
        <v>0</v>
      </c>
      <c r="J103" s="37"/>
    </row>
    <row r="104" spans="1:10" ht="15.95" customHeight="1">
      <c r="A104" s="200"/>
      <c r="B104" s="192"/>
      <c r="C104" s="194" t="s">
        <v>324</v>
      </c>
      <c r="D104" s="195">
        <f>D106+D105</f>
        <v>2048900</v>
      </c>
      <c r="E104" s="195">
        <f>E106+E105</f>
        <v>2048873</v>
      </c>
      <c r="F104" s="185">
        <v>0</v>
      </c>
      <c r="G104" s="185">
        <v>0</v>
      </c>
      <c r="H104" s="185">
        <f t="shared" si="5"/>
        <v>2048873</v>
      </c>
      <c r="I104" s="185">
        <f t="shared" si="6"/>
        <v>27</v>
      </c>
      <c r="J104" s="37"/>
    </row>
    <row r="105" spans="1:10" ht="54.75" customHeight="1">
      <c r="A105" s="200" t="s">
        <v>325</v>
      </c>
      <c r="B105" s="192"/>
      <c r="C105" s="194" t="s">
        <v>326</v>
      </c>
      <c r="D105" s="195">
        <v>1578900</v>
      </c>
      <c r="E105" s="196">
        <v>1578873</v>
      </c>
      <c r="F105" s="185">
        <v>0</v>
      </c>
      <c r="G105" s="185">
        <v>0</v>
      </c>
      <c r="H105" s="185">
        <f t="shared" si="5"/>
        <v>1578873</v>
      </c>
      <c r="I105" s="185">
        <f t="shared" si="6"/>
        <v>27</v>
      </c>
      <c r="J105" s="37"/>
    </row>
    <row r="106" spans="1:10" ht="45" customHeight="1">
      <c r="A106" s="199" t="s">
        <v>327</v>
      </c>
      <c r="B106" s="192"/>
      <c r="C106" s="194" t="s">
        <v>328</v>
      </c>
      <c r="D106" s="195">
        <v>470000</v>
      </c>
      <c r="E106" s="195">
        <v>470000</v>
      </c>
      <c r="F106" s="185">
        <v>0</v>
      </c>
      <c r="G106" s="185">
        <v>0</v>
      </c>
      <c r="H106" s="185">
        <f t="shared" si="5"/>
        <v>470000</v>
      </c>
      <c r="I106" s="185">
        <f t="shared" si="6"/>
        <v>0</v>
      </c>
      <c r="J106" s="37"/>
    </row>
    <row r="107" spans="1:10" ht="15.95" customHeight="1">
      <c r="A107" s="199"/>
      <c r="B107" s="192"/>
      <c r="C107" s="194" t="s">
        <v>329</v>
      </c>
      <c r="D107" s="195">
        <v>470000</v>
      </c>
      <c r="E107" s="196">
        <v>470000</v>
      </c>
      <c r="F107" s="185">
        <v>0</v>
      </c>
      <c r="G107" s="185">
        <v>0</v>
      </c>
      <c r="H107" s="185">
        <f t="shared" si="5"/>
        <v>470000</v>
      </c>
      <c r="I107" s="185">
        <f t="shared" si="6"/>
        <v>0</v>
      </c>
      <c r="J107" s="37"/>
    </row>
    <row r="108" spans="1:10" ht="21" customHeight="1">
      <c r="A108" s="199" t="s">
        <v>330</v>
      </c>
      <c r="B108" s="192"/>
      <c r="C108" s="194" t="s">
        <v>331</v>
      </c>
      <c r="D108" s="195">
        <v>0</v>
      </c>
      <c r="E108" s="195">
        <f>E109</f>
        <v>0</v>
      </c>
      <c r="F108" s="185">
        <v>0</v>
      </c>
      <c r="G108" s="185">
        <v>0</v>
      </c>
      <c r="H108" s="185">
        <f t="shared" si="5"/>
        <v>0</v>
      </c>
      <c r="I108" s="185">
        <f t="shared" si="6"/>
        <v>0</v>
      </c>
      <c r="J108" s="37"/>
    </row>
    <row r="109" spans="1:10" ht="15.95" customHeight="1">
      <c r="A109" s="200"/>
      <c r="B109" s="201"/>
      <c r="C109" s="194" t="s">
        <v>332</v>
      </c>
      <c r="D109" s="195">
        <v>0</v>
      </c>
      <c r="E109" s="196">
        <v>0</v>
      </c>
      <c r="F109" s="185">
        <v>0</v>
      </c>
      <c r="G109" s="185">
        <v>0</v>
      </c>
      <c r="H109" s="185">
        <f t="shared" si="5"/>
        <v>0</v>
      </c>
      <c r="I109" s="185">
        <f t="shared" si="6"/>
        <v>0</v>
      </c>
      <c r="J109" s="37"/>
    </row>
    <row r="110" spans="1:10" ht="57" customHeight="1">
      <c r="A110" s="200" t="s">
        <v>333</v>
      </c>
      <c r="B110" s="202"/>
      <c r="C110" s="194" t="s">
        <v>334</v>
      </c>
      <c r="D110" s="185">
        <v>1198.6400000000001</v>
      </c>
      <c r="E110" s="188">
        <v>1198.6400000000001</v>
      </c>
      <c r="F110" s="185">
        <v>0</v>
      </c>
      <c r="G110" s="185">
        <v>0</v>
      </c>
      <c r="H110" s="185">
        <f t="shared" si="5"/>
        <v>1198.6400000000001</v>
      </c>
      <c r="I110" s="185">
        <f t="shared" si="6"/>
        <v>0</v>
      </c>
      <c r="J110" s="37"/>
    </row>
    <row r="111" spans="1:10" ht="45" customHeight="1">
      <c r="A111" s="203" t="s">
        <v>335</v>
      </c>
      <c r="B111" s="204"/>
      <c r="C111" s="194" t="s">
        <v>336</v>
      </c>
      <c r="D111" s="185">
        <v>0</v>
      </c>
      <c r="E111" s="188">
        <v>0</v>
      </c>
      <c r="F111" s="185">
        <v>0</v>
      </c>
      <c r="G111" s="185">
        <v>0</v>
      </c>
      <c r="H111" s="185">
        <f t="shared" si="5"/>
        <v>0</v>
      </c>
      <c r="I111" s="185">
        <f t="shared" si="6"/>
        <v>0</v>
      </c>
      <c r="J111" s="37"/>
    </row>
    <row r="112" spans="1:10">
      <c r="A112" s="205"/>
      <c r="B112" s="206"/>
      <c r="C112" s="207"/>
      <c r="D112" s="208">
        <f>D99-E99</f>
        <v>0</v>
      </c>
      <c r="E112" s="208"/>
      <c r="F112" s="208"/>
      <c r="G112" s="208"/>
      <c r="H112" s="208"/>
      <c r="I112" s="208"/>
      <c r="J112" s="37"/>
    </row>
    <row r="113" spans="1:10">
      <c r="A113" s="205"/>
      <c r="B113" s="206"/>
      <c r="C113" s="207"/>
      <c r="D113" s="208"/>
      <c r="E113" s="208"/>
      <c r="F113" s="208"/>
      <c r="G113" s="208"/>
      <c r="H113" s="208"/>
      <c r="I113" s="208"/>
      <c r="J113" s="37"/>
    </row>
    <row r="114" spans="1:10">
      <c r="A114" s="209"/>
      <c r="B114" s="210"/>
      <c r="C114" s="211"/>
      <c r="D114" s="86"/>
      <c r="E114" s="86"/>
      <c r="F114" s="86"/>
      <c r="G114" s="86"/>
      <c r="H114" s="86"/>
      <c r="I114" s="86"/>
      <c r="J114" s="37"/>
    </row>
    <row r="115" spans="1:10">
      <c r="A115" s="209"/>
      <c r="B115" s="210"/>
      <c r="C115" s="211"/>
      <c r="D115" s="86"/>
      <c r="E115" s="86"/>
      <c r="F115" s="86"/>
      <c r="G115" s="86"/>
      <c r="H115" s="86"/>
      <c r="I115" s="86"/>
      <c r="J115" s="37"/>
    </row>
    <row r="116" spans="1:10">
      <c r="A116" s="209"/>
      <c r="B116" s="210"/>
      <c r="C116" s="211"/>
      <c r="D116" s="86"/>
      <c r="E116" s="86"/>
      <c r="F116" s="86"/>
      <c r="G116" s="86"/>
      <c r="H116" s="86"/>
      <c r="I116" s="86"/>
      <c r="J116" s="37"/>
    </row>
    <row r="117" spans="1:10">
      <c r="A117" s="209"/>
      <c r="B117" s="210"/>
      <c r="C117" s="211"/>
      <c r="D117" s="86"/>
      <c r="E117" s="86"/>
      <c r="F117" s="86"/>
      <c r="G117" s="86"/>
      <c r="H117" s="86"/>
      <c r="I117" s="86"/>
      <c r="J117" s="37"/>
    </row>
    <row r="118" spans="1:10">
      <c r="A118" s="209"/>
      <c r="B118" s="210"/>
      <c r="C118" s="211"/>
      <c r="D118" s="86"/>
      <c r="E118" s="86"/>
      <c r="F118" s="86"/>
      <c r="G118" s="86"/>
      <c r="H118" s="86"/>
      <c r="I118" s="86"/>
      <c r="J118" s="37"/>
    </row>
    <row r="119" spans="1:10">
      <c r="A119" s="209"/>
      <c r="B119" s="210"/>
      <c r="C119" s="211"/>
      <c r="D119" s="86"/>
      <c r="E119" s="86"/>
      <c r="F119" s="86"/>
      <c r="G119" s="86"/>
      <c r="H119" s="86"/>
      <c r="I119" s="86"/>
      <c r="J119" s="37"/>
    </row>
    <row r="120" spans="1:10">
      <c r="A120" s="209"/>
      <c r="B120" s="210"/>
      <c r="C120" s="211"/>
      <c r="D120" s="86"/>
      <c r="E120" s="86"/>
      <c r="F120" s="86"/>
      <c r="G120" s="86"/>
      <c r="H120" s="86"/>
      <c r="I120" s="86"/>
      <c r="J120" s="37"/>
    </row>
    <row r="121" spans="1:10">
      <c r="A121" s="209"/>
      <c r="B121" s="210"/>
      <c r="C121" s="211"/>
      <c r="D121" s="86"/>
      <c r="E121" s="86"/>
      <c r="F121" s="86"/>
      <c r="G121" s="86"/>
      <c r="H121" s="86"/>
      <c r="I121" s="86"/>
      <c r="J121" s="37"/>
    </row>
    <row r="122" spans="1:10">
      <c r="A122" s="209"/>
      <c r="B122" s="210"/>
      <c r="C122" s="211"/>
      <c r="D122" s="86"/>
      <c r="E122" s="86"/>
      <c r="F122" s="86"/>
      <c r="G122" s="86"/>
      <c r="H122" s="86"/>
      <c r="I122" s="86"/>
      <c r="J122" s="37"/>
    </row>
    <row r="123" spans="1:10">
      <c r="A123" s="209"/>
      <c r="B123" s="210"/>
      <c r="C123" s="211"/>
      <c r="D123" s="86"/>
      <c r="E123" s="86"/>
      <c r="F123" s="86"/>
      <c r="G123" s="86"/>
      <c r="H123" s="86"/>
      <c r="I123" s="86"/>
      <c r="J123" s="37"/>
    </row>
    <row r="124" spans="1:10">
      <c r="A124" s="209"/>
      <c r="B124" s="210"/>
      <c r="C124" s="211"/>
      <c r="D124" s="86"/>
      <c r="E124" s="86"/>
      <c r="F124" s="86"/>
      <c r="G124" s="86"/>
      <c r="H124" s="86"/>
      <c r="I124" s="86"/>
      <c r="J124" s="37"/>
    </row>
    <row r="125" spans="1:10">
      <c r="A125" s="209"/>
      <c r="B125" s="210"/>
      <c r="C125" s="211"/>
      <c r="D125" s="86"/>
      <c r="E125" s="86"/>
      <c r="F125" s="86"/>
      <c r="G125" s="86"/>
      <c r="H125" s="86"/>
      <c r="I125" s="86"/>
      <c r="J125" s="37"/>
    </row>
    <row r="126" spans="1:10">
      <c r="A126" s="209"/>
      <c r="B126" s="210"/>
      <c r="C126" s="211"/>
      <c r="D126" s="86"/>
      <c r="E126" s="86"/>
      <c r="F126" s="86"/>
      <c r="G126" s="86"/>
      <c r="H126" s="86"/>
      <c r="I126" s="86"/>
      <c r="J126" s="37"/>
    </row>
    <row r="127" spans="1:10">
      <c r="A127" s="209"/>
      <c r="B127" s="210"/>
      <c r="C127" s="211"/>
      <c r="D127" s="86"/>
      <c r="E127" s="86"/>
      <c r="F127" s="86"/>
      <c r="G127" s="86"/>
      <c r="H127" s="86"/>
      <c r="I127" s="86"/>
      <c r="J127" s="37"/>
    </row>
    <row r="128" spans="1:10">
      <c r="A128" s="212"/>
      <c r="B128" s="213"/>
      <c r="C128" s="153"/>
      <c r="D128" s="214"/>
      <c r="E128" s="214"/>
      <c r="F128" s="214"/>
      <c r="G128" s="214"/>
      <c r="H128" s="215"/>
      <c r="I128" s="214"/>
      <c r="J128" s="37"/>
    </row>
    <row r="129" spans="1:10">
      <c r="A129" s="212"/>
      <c r="B129" s="213"/>
      <c r="C129" s="153"/>
      <c r="D129" s="214"/>
      <c r="E129" s="214"/>
      <c r="F129" s="214"/>
      <c r="G129" s="214"/>
      <c r="H129" s="215"/>
      <c r="I129" s="214"/>
      <c r="J129" s="37"/>
    </row>
    <row r="130" spans="1:10" ht="15">
      <c r="A130" s="79"/>
      <c r="B130" s="164"/>
      <c r="C130" s="212"/>
      <c r="D130" s="215"/>
      <c r="E130" s="215"/>
      <c r="F130" s="215"/>
      <c r="G130" s="215"/>
      <c r="H130" s="80"/>
      <c r="I130" s="215"/>
      <c r="J130" s="37"/>
    </row>
    <row r="131" spans="1:10">
      <c r="A131" s="79"/>
      <c r="B131" s="81"/>
      <c r="C131" s="82"/>
      <c r="D131" s="80"/>
      <c r="E131" s="80"/>
      <c r="F131" s="80"/>
      <c r="G131" s="80"/>
      <c r="H131" s="80"/>
      <c r="I131" s="80"/>
      <c r="J131" s="37"/>
    </row>
    <row r="132" spans="1:10">
      <c r="A132" s="212"/>
      <c r="B132" s="153"/>
      <c r="C132" s="153"/>
      <c r="D132" s="214"/>
      <c r="E132" s="214"/>
      <c r="F132" s="216"/>
      <c r="G132" s="214"/>
      <c r="H132" s="214"/>
      <c r="I132" s="214"/>
      <c r="J132" s="37"/>
    </row>
    <row r="133" spans="1:10">
      <c r="A133" s="79"/>
      <c r="B133" s="153"/>
      <c r="C133" s="153"/>
      <c r="D133" s="214"/>
      <c r="E133" s="214"/>
      <c r="F133" s="86"/>
      <c r="G133" s="214"/>
      <c r="H133" s="214"/>
      <c r="I133" s="214"/>
      <c r="J133" s="37"/>
    </row>
    <row r="134" spans="1:10">
      <c r="A134" s="153"/>
      <c r="B134" s="153"/>
      <c r="C134" s="153"/>
      <c r="D134" s="214"/>
      <c r="E134" s="214"/>
      <c r="F134" s="214"/>
      <c r="G134" s="214"/>
      <c r="H134" s="214"/>
      <c r="I134" s="214"/>
      <c r="J134" s="37"/>
    </row>
    <row r="135" spans="1:10">
      <c r="A135" s="212"/>
      <c r="B135" s="153"/>
      <c r="C135" s="153"/>
      <c r="D135" s="214"/>
      <c r="E135" s="214"/>
      <c r="F135" s="214"/>
      <c r="G135" s="214"/>
      <c r="H135" s="214"/>
      <c r="I135" s="214"/>
      <c r="J135" s="37"/>
    </row>
    <row r="136" spans="1:10">
      <c r="A136" s="212"/>
      <c r="B136" s="153"/>
      <c r="C136" s="153"/>
      <c r="D136" s="214"/>
      <c r="E136" s="214"/>
      <c r="F136" s="214"/>
      <c r="G136" s="214"/>
      <c r="H136" s="214"/>
      <c r="I136" s="214"/>
      <c r="J136" s="37"/>
    </row>
    <row r="137" spans="1:10">
      <c r="A137" s="217"/>
      <c r="B137" s="217"/>
      <c r="C137" s="217"/>
      <c r="D137" s="214"/>
      <c r="E137" s="214"/>
      <c r="F137" s="214"/>
      <c r="G137" s="214"/>
      <c r="H137" s="214"/>
      <c r="I137" s="214"/>
      <c r="J137" s="37"/>
    </row>
    <row r="138" spans="1:10">
      <c r="A138" s="83"/>
      <c r="B138" s="84"/>
      <c r="C138" s="84"/>
      <c r="D138" s="86"/>
      <c r="E138" s="86"/>
      <c r="F138" s="86"/>
      <c r="G138" s="86"/>
      <c r="H138" s="86"/>
      <c r="I138" s="86"/>
      <c r="J138" s="37"/>
    </row>
    <row r="139" spans="1:10">
      <c r="A139" s="83"/>
      <c r="B139" s="84"/>
      <c r="C139" s="84"/>
      <c r="D139" s="86"/>
      <c r="E139" s="86"/>
      <c r="F139" s="86"/>
      <c r="G139" s="86"/>
      <c r="H139" s="86"/>
      <c r="I139" s="86"/>
      <c r="J139" s="37"/>
    </row>
    <row r="140" spans="1:10">
      <c r="A140" s="83"/>
      <c r="B140" s="84"/>
      <c r="C140" s="211"/>
      <c r="D140" s="86"/>
      <c r="E140" s="86"/>
      <c r="F140" s="86"/>
      <c r="G140" s="86"/>
      <c r="H140" s="86"/>
      <c r="I140" s="86"/>
      <c r="J140" s="37"/>
    </row>
    <row r="141" spans="1:10">
      <c r="A141" s="83"/>
      <c r="B141" s="84"/>
      <c r="C141" s="211"/>
      <c r="D141" s="86"/>
      <c r="E141" s="86"/>
      <c r="F141" s="86"/>
      <c r="G141" s="86"/>
      <c r="H141" s="86"/>
      <c r="I141" s="86"/>
      <c r="J141" s="37"/>
    </row>
    <row r="142" spans="1:10">
      <c r="A142" s="83"/>
      <c r="B142" s="85"/>
      <c r="C142" s="211"/>
      <c r="D142" s="86"/>
      <c r="E142" s="86"/>
      <c r="F142" s="86"/>
      <c r="G142" s="86"/>
      <c r="H142" s="86"/>
      <c r="I142" s="86"/>
      <c r="J142" s="37"/>
    </row>
    <row r="143" spans="1:10">
      <c r="A143" s="83"/>
      <c r="B143" s="85"/>
      <c r="C143" s="211"/>
      <c r="D143" s="86"/>
      <c r="E143" s="86"/>
      <c r="F143" s="86"/>
      <c r="G143" s="86"/>
      <c r="H143" s="86"/>
      <c r="I143" s="86"/>
      <c r="J143" s="37"/>
    </row>
    <row r="144" spans="1:10">
      <c r="A144" s="83"/>
      <c r="B144" s="85"/>
      <c r="C144" s="211"/>
      <c r="D144" s="86"/>
      <c r="E144" s="86"/>
      <c r="F144" s="86"/>
      <c r="G144" s="86"/>
      <c r="H144" s="86"/>
      <c r="I144" s="86"/>
      <c r="J144" s="37"/>
    </row>
    <row r="145" spans="1:10">
      <c r="A145" s="83"/>
      <c r="B145" s="85"/>
      <c r="C145" s="211"/>
      <c r="D145" s="86"/>
      <c r="E145" s="86"/>
      <c r="F145" s="86"/>
      <c r="G145" s="86"/>
      <c r="H145" s="86"/>
      <c r="I145" s="86"/>
      <c r="J145" s="37"/>
    </row>
    <row r="146" spans="1:10">
      <c r="A146" s="83"/>
      <c r="B146" s="84"/>
      <c r="C146" s="211"/>
      <c r="D146" s="86"/>
      <c r="E146" s="86"/>
      <c r="F146" s="86"/>
      <c r="G146" s="86"/>
      <c r="H146" s="86"/>
      <c r="I146" s="86"/>
      <c r="J146" s="37"/>
    </row>
    <row r="147" spans="1:10">
      <c r="A147" s="83"/>
      <c r="B147" s="84"/>
      <c r="C147" s="211"/>
      <c r="D147" s="86"/>
      <c r="E147" s="86"/>
      <c r="F147" s="86"/>
      <c r="G147" s="86"/>
      <c r="H147" s="86"/>
      <c r="I147" s="86"/>
      <c r="J147" s="37"/>
    </row>
    <row r="148" spans="1:10">
      <c r="A148" s="83"/>
      <c r="B148" s="84"/>
      <c r="C148" s="211"/>
      <c r="D148" s="86"/>
      <c r="E148" s="86"/>
      <c r="F148" s="86"/>
      <c r="G148" s="86"/>
      <c r="H148" s="86"/>
      <c r="I148" s="86"/>
      <c r="J148" s="37"/>
    </row>
    <row r="149" spans="1:10">
      <c r="A149" s="83"/>
      <c r="B149" s="84"/>
      <c r="C149" s="211"/>
      <c r="D149" s="86"/>
      <c r="E149" s="86"/>
      <c r="F149" s="86"/>
      <c r="G149" s="86"/>
      <c r="H149" s="86"/>
      <c r="I149" s="86"/>
      <c r="J149" s="37"/>
    </row>
    <row r="150" spans="1:10">
      <c r="A150" s="83"/>
      <c r="B150" s="84"/>
      <c r="C150" s="211"/>
      <c r="D150" s="86"/>
      <c r="E150" s="86"/>
      <c r="F150" s="86"/>
      <c r="G150" s="86"/>
      <c r="H150" s="86"/>
      <c r="I150" s="86"/>
      <c r="J150" s="37"/>
    </row>
    <row r="151" spans="1:10">
      <c r="A151" s="83"/>
      <c r="B151" s="84"/>
      <c r="C151" s="211"/>
      <c r="D151" s="86"/>
      <c r="E151" s="86"/>
      <c r="F151" s="86"/>
      <c r="G151" s="86"/>
      <c r="H151" s="86"/>
      <c r="I151" s="86"/>
      <c r="J151" s="37"/>
    </row>
    <row r="152" spans="1:10">
      <c r="A152" s="83"/>
      <c r="B152" s="84"/>
      <c r="C152" s="211"/>
      <c r="D152" s="86"/>
      <c r="E152" s="86"/>
      <c r="F152" s="86"/>
      <c r="G152" s="86"/>
      <c r="H152" s="86"/>
      <c r="I152" s="86"/>
      <c r="J152" s="37"/>
    </row>
    <row r="153" spans="1:10">
      <c r="A153" s="83"/>
      <c r="B153" s="84"/>
      <c r="C153" s="211"/>
      <c r="D153" s="86"/>
      <c r="E153" s="86"/>
      <c r="F153" s="86"/>
      <c r="G153" s="86"/>
      <c r="H153" s="86"/>
      <c r="I153" s="86"/>
      <c r="J153" s="37"/>
    </row>
    <row r="154" spans="1:10">
      <c r="A154" s="83"/>
      <c r="B154" s="84"/>
      <c r="C154" s="211"/>
      <c r="D154" s="86"/>
      <c r="E154" s="86"/>
      <c r="F154" s="86"/>
      <c r="G154" s="86"/>
      <c r="H154" s="86"/>
      <c r="I154" s="86"/>
      <c r="J154" s="37"/>
    </row>
    <row r="155" spans="1:10">
      <c r="A155" s="83"/>
      <c r="B155" s="84"/>
      <c r="C155" s="211"/>
      <c r="D155" s="86"/>
      <c r="E155" s="86"/>
      <c r="F155" s="86"/>
      <c r="G155" s="86"/>
      <c r="H155" s="86"/>
      <c r="I155" s="86"/>
      <c r="J155" s="37"/>
    </row>
    <row r="156" spans="1:10">
      <c r="A156" s="83"/>
      <c r="B156" s="84"/>
      <c r="C156" s="211"/>
      <c r="D156" s="86"/>
      <c r="E156" s="86"/>
      <c r="F156" s="86"/>
      <c r="G156" s="86"/>
      <c r="H156" s="86"/>
      <c r="I156" s="86"/>
      <c r="J156" s="37"/>
    </row>
    <row r="157" spans="1:10">
      <c r="A157" s="83"/>
      <c r="B157" s="84"/>
      <c r="C157" s="211"/>
      <c r="D157" s="86"/>
      <c r="E157" s="86"/>
      <c r="F157" s="86"/>
      <c r="G157" s="86"/>
      <c r="H157" s="86"/>
      <c r="I157" s="86"/>
      <c r="J157" s="37"/>
    </row>
    <row r="158" spans="1:10">
      <c r="A158" s="83"/>
      <c r="B158" s="84"/>
      <c r="C158" s="211"/>
      <c r="D158" s="86"/>
      <c r="E158" s="86"/>
      <c r="F158" s="86"/>
      <c r="G158" s="86"/>
      <c r="H158" s="215"/>
      <c r="I158" s="86"/>
      <c r="J158" s="37"/>
    </row>
    <row r="159" spans="1:10">
      <c r="A159" s="83"/>
      <c r="B159" s="84"/>
      <c r="C159" s="211"/>
      <c r="D159" s="211"/>
      <c r="E159" s="218"/>
      <c r="F159" s="211"/>
      <c r="G159" s="211"/>
      <c r="H159" s="219"/>
      <c r="I159" s="211"/>
    </row>
    <row r="160" spans="1:10">
      <c r="A160" s="212"/>
      <c r="B160" s="153"/>
      <c r="C160" s="153"/>
      <c r="D160" s="220"/>
      <c r="E160" s="221"/>
      <c r="F160" s="222"/>
      <c r="G160" s="220"/>
      <c r="H160" s="220"/>
      <c r="I160" s="220"/>
    </row>
    <row r="161" spans="1:9">
      <c r="A161" s="79"/>
      <c r="B161" s="153"/>
      <c r="C161" s="153"/>
      <c r="D161" s="220"/>
      <c r="E161" s="221"/>
      <c r="F161" s="211"/>
      <c r="G161" s="220"/>
      <c r="H161" s="220"/>
      <c r="I161" s="220"/>
    </row>
    <row r="162" spans="1:9">
      <c r="A162" s="153"/>
      <c r="B162" s="153"/>
      <c r="C162" s="153"/>
      <c r="D162" s="220"/>
      <c r="E162" s="221"/>
      <c r="F162" s="220"/>
      <c r="G162" s="220"/>
      <c r="H162" s="220"/>
      <c r="I162" s="220"/>
    </row>
    <row r="163" spans="1:9">
      <c r="A163" s="212"/>
      <c r="B163" s="153"/>
      <c r="C163" s="153"/>
      <c r="D163" s="220"/>
      <c r="E163" s="221"/>
      <c r="F163" s="220"/>
      <c r="G163" s="220"/>
      <c r="H163" s="220"/>
      <c r="I163" s="220"/>
    </row>
    <row r="164" spans="1:9">
      <c r="A164" s="212"/>
      <c r="B164" s="153"/>
      <c r="C164" s="153"/>
      <c r="D164" s="220"/>
      <c r="E164" s="221"/>
      <c r="F164" s="220"/>
      <c r="G164" s="220"/>
      <c r="H164" s="220"/>
      <c r="I164" s="220"/>
    </row>
    <row r="165" spans="1:9">
      <c r="A165" s="217"/>
      <c r="B165" s="217"/>
      <c r="C165" s="217"/>
      <c r="D165" s="220"/>
      <c r="E165" s="221"/>
      <c r="F165" s="220"/>
      <c r="G165" s="220"/>
      <c r="H165" s="220"/>
      <c r="I165" s="220"/>
    </row>
    <row r="166" spans="1:9">
      <c r="A166" s="83"/>
      <c r="B166" s="84"/>
      <c r="C166" s="211"/>
      <c r="D166" s="211"/>
      <c r="E166" s="218"/>
      <c r="F166" s="211"/>
      <c r="G166" s="211"/>
      <c r="H166" s="211"/>
      <c r="I166" s="211"/>
    </row>
    <row r="167" spans="1:9">
      <c r="A167" s="83"/>
      <c r="B167" s="84"/>
      <c r="C167" s="211"/>
      <c r="D167" s="211"/>
      <c r="E167" s="218"/>
      <c r="F167" s="211"/>
      <c r="G167" s="211"/>
      <c r="H167" s="211"/>
      <c r="I167" s="211"/>
    </row>
    <row r="168" spans="1:9">
      <c r="A168" s="83"/>
      <c r="B168" s="84"/>
      <c r="C168" s="211"/>
      <c r="D168" s="211"/>
      <c r="E168" s="218"/>
      <c r="F168" s="211"/>
      <c r="G168" s="211"/>
      <c r="H168" s="211"/>
      <c r="I168" s="211"/>
    </row>
    <row r="169" spans="1:9">
      <c r="A169" s="83"/>
      <c r="B169" s="84"/>
      <c r="C169" s="211"/>
      <c r="D169" s="211"/>
      <c r="E169" s="218"/>
      <c r="F169" s="211"/>
      <c r="G169" s="211"/>
      <c r="H169" s="211"/>
      <c r="I169" s="211"/>
    </row>
    <row r="170" spans="1:9">
      <c r="A170" s="83"/>
      <c r="B170" s="84"/>
      <c r="C170" s="211"/>
      <c r="D170" s="211"/>
      <c r="E170" s="218"/>
      <c r="F170" s="211"/>
      <c r="G170" s="211"/>
      <c r="H170" s="211"/>
      <c r="I170" s="211"/>
    </row>
    <row r="171" spans="1:9">
      <c r="A171" s="223"/>
      <c r="B171" s="223"/>
      <c r="C171" s="211"/>
      <c r="D171" s="211"/>
      <c r="E171" s="218"/>
      <c r="F171" s="211"/>
      <c r="G171" s="211"/>
      <c r="H171" s="211"/>
      <c r="I171" s="211"/>
    </row>
    <row r="172" spans="1:9">
      <c r="A172" s="83"/>
      <c r="B172" s="83"/>
      <c r="C172" s="211"/>
      <c r="D172" s="213"/>
      <c r="E172" s="224"/>
      <c r="F172" s="211"/>
      <c r="G172" s="211"/>
      <c r="H172" s="211"/>
      <c r="I172" s="211"/>
    </row>
    <row r="173" spans="1:9">
      <c r="A173" s="212"/>
      <c r="B173" s="212"/>
      <c r="C173" s="219"/>
      <c r="D173" s="225"/>
      <c r="E173" s="226"/>
      <c r="F173" s="225"/>
      <c r="G173" s="225"/>
      <c r="H173" s="225"/>
      <c r="I173" s="225"/>
    </row>
    <row r="174" spans="1:9">
      <c r="A174" s="79"/>
      <c r="B174" s="79"/>
      <c r="C174" s="79"/>
      <c r="D174" s="225"/>
      <c r="E174" s="226"/>
      <c r="F174" s="212"/>
      <c r="H174" s="225"/>
      <c r="I174" s="225"/>
    </row>
    <row r="175" spans="1:9">
      <c r="A175" s="212"/>
      <c r="B175" s="212"/>
      <c r="C175" s="219"/>
      <c r="D175" s="225"/>
      <c r="E175" s="226"/>
      <c r="F175" s="225"/>
      <c r="G175" s="225"/>
      <c r="H175" s="225"/>
      <c r="I175" s="225"/>
    </row>
    <row r="176" spans="1:9">
      <c r="A176" s="212"/>
      <c r="B176" s="212"/>
      <c r="C176" s="212"/>
      <c r="D176" s="225"/>
      <c r="E176" s="87"/>
      <c r="F176" s="225"/>
      <c r="G176" s="225"/>
      <c r="H176" s="225"/>
      <c r="I176" s="73"/>
    </row>
    <row r="177" spans="1:9">
      <c r="A177" s="212"/>
      <c r="B177" s="79"/>
      <c r="C177" s="79"/>
      <c r="D177" s="225"/>
      <c r="E177" s="226"/>
      <c r="F177" s="225"/>
      <c r="G177" s="225"/>
      <c r="H177" s="225"/>
      <c r="I177" s="73"/>
    </row>
    <row r="178" spans="1:9">
      <c r="D178" s="225"/>
      <c r="E178" s="226"/>
      <c r="F178" s="225"/>
      <c r="G178" s="225"/>
      <c r="H178" s="225"/>
      <c r="I178" s="73"/>
    </row>
  </sheetData>
  <mergeCells count="5">
    <mergeCell ref="A1:H1"/>
    <mergeCell ref="A2:H2"/>
    <mergeCell ref="A3:H3"/>
    <mergeCell ref="A4:G4"/>
    <mergeCell ref="E15:I15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1" sqref="D21"/>
    </sheetView>
  </sheetViews>
  <sheetFormatPr defaultColWidth="9.140625"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34" t="s">
        <v>33</v>
      </c>
      <c r="K1" s="5"/>
    </row>
    <row r="2" spans="1:12">
      <c r="A2" s="6"/>
      <c r="B2" s="6"/>
      <c r="C2" s="7"/>
      <c r="D2" s="8"/>
      <c r="E2" s="8"/>
      <c r="F2" s="8" t="s">
        <v>340</v>
      </c>
      <c r="G2" s="8"/>
      <c r="H2" s="8"/>
      <c r="I2" s="8"/>
      <c r="J2" s="135"/>
      <c r="K2" s="9"/>
    </row>
    <row r="3" spans="1:12" ht="12" customHeight="1">
      <c r="A3" s="10"/>
      <c r="B3" s="11"/>
      <c r="C3" s="12" t="s">
        <v>36</v>
      </c>
      <c r="D3" s="13"/>
      <c r="E3" s="14"/>
      <c r="F3" s="238" t="s">
        <v>5</v>
      </c>
      <c r="G3" s="239"/>
      <c r="H3" s="239"/>
      <c r="I3" s="240"/>
      <c r="J3" s="136" t="s">
        <v>21</v>
      </c>
      <c r="K3" s="228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1"/>
      <c r="G4" s="242"/>
      <c r="H4" s="242"/>
      <c r="I4" s="243"/>
      <c r="J4" s="137"/>
      <c r="K4" s="229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228"/>
      <c r="J5" s="138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38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38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38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39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5">
        <f>D34+D35+D42+D46+D50+D54+D57+D58+D65+D79+D81+D84+D85+D87</f>
        <v>14538092.199999999</v>
      </c>
      <c r="E10" s="65">
        <f>E34+E42+E46+E54+E58+E65+E79+E81+E84+E85+E87+E57</f>
        <v>14535566.07</v>
      </c>
      <c r="F10" s="65">
        <f>F34+F42+F46+F54+F58+F65+F79+F81+F84+F85+F87+F57</f>
        <v>14535566.07</v>
      </c>
      <c r="G10" s="65" t="e">
        <f>G34+#REF!+G35+G42+G46+G50+#REF!+G65+G79+G84+G85+G87+G58</f>
        <v>#REF!</v>
      </c>
      <c r="H10" s="65" t="e">
        <f>H34+#REF!+H35+H42+H46+H50+#REF!+H65+H79+H84+H85+H87+H58</f>
        <v>#REF!</v>
      </c>
      <c r="I10" s="65">
        <f>I34+I42+I46+I54+I58+I65+I79+I81+I84+I85+I87+I57</f>
        <v>14535566.07</v>
      </c>
      <c r="J10" s="65">
        <f>D10-E10</f>
        <v>2526.1299999989569</v>
      </c>
      <c r="K10" s="65"/>
      <c r="L10" s="65"/>
    </row>
    <row r="11" spans="1:12" ht="30" customHeight="1">
      <c r="A11" s="29" t="s">
        <v>110</v>
      </c>
      <c r="B11" s="30"/>
      <c r="C11" s="38"/>
      <c r="D11" s="43"/>
      <c r="E11" s="43"/>
      <c r="F11" s="43"/>
      <c r="G11" s="42"/>
      <c r="H11" s="42"/>
      <c r="I11" s="43"/>
      <c r="J11" s="143"/>
      <c r="K11" s="44"/>
      <c r="L11" s="25">
        <f>D11-E11-J11</f>
        <v>0</v>
      </c>
    </row>
    <row r="12" spans="1:12" ht="15" customHeight="1">
      <c r="A12" s="28" t="s">
        <v>57</v>
      </c>
      <c r="B12" s="31">
        <v>340</v>
      </c>
      <c r="C12" s="38" t="s">
        <v>232</v>
      </c>
      <c r="D12" s="43">
        <v>5000</v>
      </c>
      <c r="E12" s="43">
        <v>5000</v>
      </c>
      <c r="F12" s="43">
        <v>5000</v>
      </c>
      <c r="G12" s="42" t="s">
        <v>66</v>
      </c>
      <c r="H12" s="42" t="s">
        <v>66</v>
      </c>
      <c r="I12" s="43">
        <v>5000</v>
      </c>
      <c r="J12" s="141">
        <f>D12-I12</f>
        <v>0</v>
      </c>
      <c r="K12" s="44"/>
      <c r="L12" s="25">
        <f>D12-E12-J12</f>
        <v>0</v>
      </c>
    </row>
    <row r="13" spans="1:12" ht="21.75" customHeight="1">
      <c r="A13" s="29" t="s">
        <v>69</v>
      </c>
      <c r="B13" s="30"/>
      <c r="C13" s="38"/>
      <c r="D13" s="43"/>
      <c r="E13" s="43"/>
      <c r="F13" s="43"/>
      <c r="G13" s="42"/>
      <c r="H13" s="42"/>
      <c r="I13" s="43"/>
      <c r="J13" s="141">
        <f>D13-I13</f>
        <v>0</v>
      </c>
      <c r="K13" s="44"/>
      <c r="L13" s="25">
        <f>D13-E13-J13</f>
        <v>0</v>
      </c>
    </row>
    <row r="14" spans="1:12" ht="19.899999999999999" customHeight="1">
      <c r="A14" s="28" t="s">
        <v>70</v>
      </c>
      <c r="B14" s="30" t="s">
        <v>47</v>
      </c>
      <c r="C14" s="38" t="s">
        <v>233</v>
      </c>
      <c r="D14" s="43">
        <f>3984200-290300-21300</f>
        <v>3672600</v>
      </c>
      <c r="E14" s="42">
        <v>3672559.06</v>
      </c>
      <c r="F14" s="42">
        <v>3672559.06</v>
      </c>
      <c r="G14" s="42" t="s">
        <v>66</v>
      </c>
      <c r="H14" s="42" t="s">
        <v>66</v>
      </c>
      <c r="I14" s="42">
        <v>3672559.06</v>
      </c>
      <c r="J14" s="141">
        <f>D14-I14</f>
        <v>40.939999999944121</v>
      </c>
      <c r="K14" s="44"/>
      <c r="L14" s="25">
        <f>D14-E14-J14</f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233</v>
      </c>
      <c r="D15" s="43">
        <f>D14-D16</f>
        <v>3183200</v>
      </c>
      <c r="E15" s="43">
        <f>E14-E16</f>
        <v>3613844.69</v>
      </c>
      <c r="F15" s="43">
        <f>F14-F16</f>
        <v>3613844.69</v>
      </c>
      <c r="G15" s="42" t="s">
        <v>66</v>
      </c>
      <c r="H15" s="42" t="s">
        <v>66</v>
      </c>
      <c r="I15" s="43">
        <f>I14-I16</f>
        <v>3613844.69</v>
      </c>
      <c r="J15" s="141">
        <f>D15-I15</f>
        <v>-430644.68999999994</v>
      </c>
      <c r="K15" s="44"/>
      <c r="L15" s="25">
        <f>D15-E15-J15</f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233</v>
      </c>
      <c r="D16" s="43">
        <f>489400</f>
        <v>489400</v>
      </c>
      <c r="E16" s="43">
        <f>21219.22+37495.15</f>
        <v>58714.37</v>
      </c>
      <c r="F16" s="43">
        <f>21219.22+37495.15</f>
        <v>58714.37</v>
      </c>
      <c r="G16" s="42" t="s">
        <v>66</v>
      </c>
      <c r="H16" s="42" t="s">
        <v>66</v>
      </c>
      <c r="I16" s="43">
        <f>21219.22+37495.15</f>
        <v>58714.37</v>
      </c>
      <c r="J16" s="141">
        <f>D16-I16</f>
        <v>430685.63</v>
      </c>
      <c r="K16" s="44"/>
      <c r="L16" s="25">
        <f>D16-E16-J16</f>
        <v>0</v>
      </c>
    </row>
    <row r="17" spans="1:12" ht="19.899999999999999" customHeight="1">
      <c r="A17" s="28" t="s">
        <v>280</v>
      </c>
      <c r="B17" s="30" t="s">
        <v>47</v>
      </c>
      <c r="C17" s="38" t="s">
        <v>233</v>
      </c>
      <c r="D17" s="43">
        <v>11500</v>
      </c>
      <c r="E17" s="42">
        <f>10005+1495</f>
        <v>11500</v>
      </c>
      <c r="F17" s="42">
        <v>11500</v>
      </c>
      <c r="G17" s="42" t="s">
        <v>66</v>
      </c>
      <c r="H17" s="42" t="s">
        <v>66</v>
      </c>
      <c r="I17" s="42">
        <v>11500</v>
      </c>
      <c r="J17" s="141">
        <f>D17-I17</f>
        <v>0</v>
      </c>
      <c r="K17" s="44"/>
      <c r="L17" s="25">
        <f>D17-E17-J17</f>
        <v>0</v>
      </c>
    </row>
    <row r="18" spans="1:12" ht="19.899999999999999" customHeight="1">
      <c r="A18" s="28" t="s">
        <v>53</v>
      </c>
      <c r="B18" s="30" t="s">
        <v>50</v>
      </c>
      <c r="C18" s="38" t="s">
        <v>255</v>
      </c>
      <c r="D18" s="43">
        <f>1309200-114100</f>
        <v>1195100</v>
      </c>
      <c r="E18" s="42">
        <v>1195036.1000000001</v>
      </c>
      <c r="F18" s="42">
        <v>1195036.1000000001</v>
      </c>
      <c r="G18" s="42" t="s">
        <v>66</v>
      </c>
      <c r="H18" s="42" t="s">
        <v>66</v>
      </c>
      <c r="I18" s="42">
        <v>1195036.1000000001</v>
      </c>
      <c r="J18" s="141">
        <f>D18-I18</f>
        <v>63.899999999906868</v>
      </c>
      <c r="K18" s="44"/>
      <c r="L18" s="25">
        <f>D18-E18-J18</f>
        <v>0</v>
      </c>
    </row>
    <row r="19" spans="1:12" ht="19.899999999999999" hidden="1" customHeight="1">
      <c r="A19" s="28" t="s">
        <v>54</v>
      </c>
      <c r="B19" s="31">
        <v>213</v>
      </c>
      <c r="C19" s="38" t="s">
        <v>255</v>
      </c>
      <c r="D19" s="43">
        <f>D18-D20</f>
        <v>1047300</v>
      </c>
      <c r="E19" s="43">
        <f>E18-E20</f>
        <v>1181139.76</v>
      </c>
      <c r="F19" s="43">
        <f>F18-F20</f>
        <v>1181139.76</v>
      </c>
      <c r="G19" s="42" t="s">
        <v>66</v>
      </c>
      <c r="H19" s="42" t="s">
        <v>66</v>
      </c>
      <c r="I19" s="43">
        <f>I18-I20</f>
        <v>1181139.76</v>
      </c>
      <c r="J19" s="141">
        <f>D19-I19</f>
        <v>-133839.76</v>
      </c>
      <c r="K19" s="44"/>
      <c r="L19" s="25">
        <f>D19-E19-J19</f>
        <v>0</v>
      </c>
    </row>
    <row r="20" spans="1:12" ht="19.899999999999999" hidden="1" customHeight="1">
      <c r="A20" s="28" t="s">
        <v>52</v>
      </c>
      <c r="B20" s="31">
        <v>213</v>
      </c>
      <c r="C20" s="38" t="s">
        <v>255</v>
      </c>
      <c r="D20" s="43">
        <f>147800</f>
        <v>147800</v>
      </c>
      <c r="E20" s="43">
        <v>13896.34</v>
      </c>
      <c r="F20" s="43">
        <v>13896.34</v>
      </c>
      <c r="G20" s="42" t="s">
        <v>66</v>
      </c>
      <c r="H20" s="42" t="s">
        <v>66</v>
      </c>
      <c r="I20" s="43">
        <v>13896.34</v>
      </c>
      <c r="J20" s="141">
        <f>D20-I20</f>
        <v>133903.66</v>
      </c>
      <c r="K20" s="44"/>
      <c r="L20" s="25">
        <f>D20-E20-J20</f>
        <v>0</v>
      </c>
    </row>
    <row r="21" spans="1:12" ht="19.899999999999999" customHeight="1">
      <c r="A21" s="28" t="s">
        <v>281</v>
      </c>
      <c r="B21" s="30" t="s">
        <v>50</v>
      </c>
      <c r="C21" s="38" t="s">
        <v>255</v>
      </c>
      <c r="D21" s="43">
        <v>3500</v>
      </c>
      <c r="E21" s="42">
        <v>3473</v>
      </c>
      <c r="F21" s="42">
        <v>3473</v>
      </c>
      <c r="G21" s="42" t="s">
        <v>66</v>
      </c>
      <c r="H21" s="42" t="s">
        <v>66</v>
      </c>
      <c r="I21" s="42">
        <v>3473</v>
      </c>
      <c r="J21" s="141">
        <f>D21-I21</f>
        <v>27</v>
      </c>
      <c r="K21" s="44"/>
      <c r="L21" s="25">
        <f>D21-E21-J21</f>
        <v>0</v>
      </c>
    </row>
    <row r="22" spans="1:12" ht="19.899999999999999" customHeight="1">
      <c r="A22" s="28" t="s">
        <v>48</v>
      </c>
      <c r="B22" s="30" t="s">
        <v>49</v>
      </c>
      <c r="C22" s="38" t="s">
        <v>234</v>
      </c>
      <c r="D22" s="43">
        <f>350800-54200</f>
        <v>296600</v>
      </c>
      <c r="E22" s="43">
        <f>140840.4+7159.4+12366.09+5520+14468.65+548.99+40520.24+41508.98+11671.09+12569.65+9332.28</f>
        <v>296505.77</v>
      </c>
      <c r="F22" s="43">
        <f>140840.4+7159.4+12366.09+5520+14468.65+548.99+40520.24+41508.98+11671.09+12569.65+9332.28</f>
        <v>296505.77</v>
      </c>
      <c r="G22" s="42" t="s">
        <v>66</v>
      </c>
      <c r="H22" s="42" t="s">
        <v>66</v>
      </c>
      <c r="I22" s="43">
        <f>140840.4+7159.4+12366.09+5520+14468.65+548.99+40520.24+41508.98+11671.09+12569.65+9332.28</f>
        <v>296505.77</v>
      </c>
      <c r="J22" s="141">
        <f>D22-I22</f>
        <v>94.229999999981374</v>
      </c>
      <c r="K22" s="44"/>
      <c r="L22" s="25">
        <f>D22-E22-J22</f>
        <v>0</v>
      </c>
    </row>
    <row r="23" spans="1:12" ht="19.899999999999999" customHeight="1">
      <c r="A23" s="28" t="s">
        <v>111</v>
      </c>
      <c r="B23" s="31"/>
      <c r="C23" s="49"/>
      <c r="D23" s="43"/>
      <c r="E23" s="43"/>
      <c r="F23" s="43"/>
      <c r="G23" s="42"/>
      <c r="H23" s="42"/>
      <c r="I23" s="43"/>
      <c r="J23" s="141">
        <f>D23-I23</f>
        <v>0</v>
      </c>
      <c r="K23" s="44"/>
      <c r="L23" s="25">
        <f>D23-E23-J23</f>
        <v>0</v>
      </c>
    </row>
    <row r="24" spans="1:12" ht="19.899999999999999" customHeight="1">
      <c r="A24" s="28" t="s">
        <v>55</v>
      </c>
      <c r="B24" s="31">
        <v>221</v>
      </c>
      <c r="C24" s="49" t="s">
        <v>235</v>
      </c>
      <c r="D24" s="43">
        <f>36000+6000-4500-2900-2000</f>
        <v>32600</v>
      </c>
      <c r="E24" s="42">
        <f>21612.15+2245.54+2300+2262.06+2170.44+237.94+1444.25</f>
        <v>32272.38</v>
      </c>
      <c r="F24" s="42">
        <f>21612.15+2245.54+2300+2262.06+2170.44+237.94+1444.25</f>
        <v>32272.38</v>
      </c>
      <c r="G24" s="42" t="s">
        <v>66</v>
      </c>
      <c r="H24" s="42" t="s">
        <v>66</v>
      </c>
      <c r="I24" s="42">
        <f>21612.15+2245.54+2300+2262.06+2170.44+237.94+1444.25</f>
        <v>32272.38</v>
      </c>
      <c r="J24" s="141">
        <f>D24-I24</f>
        <v>327.61999999999898</v>
      </c>
      <c r="K24" s="44"/>
      <c r="L24" s="25">
        <f>D24-E24-J24</f>
        <v>0</v>
      </c>
    </row>
    <row r="25" spans="1:12" ht="15" customHeight="1">
      <c r="A25" s="28" t="s">
        <v>72</v>
      </c>
      <c r="B25" s="31">
        <v>223</v>
      </c>
      <c r="C25" s="49" t="s">
        <v>235</v>
      </c>
      <c r="D25" s="43">
        <f>96800+4800-600-53900-2400</f>
        <v>44700</v>
      </c>
      <c r="E25" s="42">
        <f>33116.51+2037.23+606.73+808.98+267.36+267.36+611.17+818.83+579.28+700.54+311.92+934.06+700.54+623.28+934.29+178.24+1114.82</f>
        <v>44611.140000000007</v>
      </c>
      <c r="F25" s="42">
        <f>33116.51+2037.23+606.73+808.98+267.36+267.36+611.17+818.83+579.28+700.54+311.92+934.06+700.54+623.28+934.29+178.24+1114.82</f>
        <v>44611.140000000007</v>
      </c>
      <c r="G25" s="42" t="s">
        <v>66</v>
      </c>
      <c r="H25" s="42" t="s">
        <v>66</v>
      </c>
      <c r="I25" s="42">
        <f>33116.51+2037.23+606.73+808.98+267.36+267.36+611.17+818.83+579.28+700.54+311.92+934.06+700.54+623.28+934.29+178.24+1114.82</f>
        <v>44611.140000000007</v>
      </c>
      <c r="J25" s="141">
        <f>D25-I25</f>
        <v>88.859999999993306</v>
      </c>
      <c r="K25" s="44"/>
      <c r="L25" s="25">
        <f>D25-E25-J25</f>
        <v>0</v>
      </c>
    </row>
    <row r="26" spans="1:12" ht="15" customHeight="1">
      <c r="A26" s="28" t="s">
        <v>56</v>
      </c>
      <c r="B26" s="31">
        <v>225</v>
      </c>
      <c r="C26" s="49" t="s">
        <v>235</v>
      </c>
      <c r="D26" s="43">
        <f>140400-4800-5300-52600</f>
        <v>77700</v>
      </c>
      <c r="E26" s="43">
        <f>81349+3430.07+10000-17079.07-120.93</f>
        <v>77579.070000000007</v>
      </c>
      <c r="F26" s="43">
        <f>81349+3430.07+10000-17079.07-120.93</f>
        <v>77579.070000000007</v>
      </c>
      <c r="G26" s="42" t="s">
        <v>66</v>
      </c>
      <c r="H26" s="42" t="s">
        <v>66</v>
      </c>
      <c r="I26" s="43">
        <f>81349+3430.07+10000-17079.07-120.93</f>
        <v>77579.070000000007</v>
      </c>
      <c r="J26" s="141">
        <f>D26-I26</f>
        <v>120.92999999999302</v>
      </c>
      <c r="K26" s="44"/>
      <c r="L26" s="25">
        <f>D26-E26-J26</f>
        <v>0</v>
      </c>
    </row>
    <row r="27" spans="1:12" ht="15" customHeight="1">
      <c r="A27" s="28" t="s">
        <v>71</v>
      </c>
      <c r="B27" s="31">
        <v>226</v>
      </c>
      <c r="C27" s="49" t="s">
        <v>235</v>
      </c>
      <c r="D27" s="43">
        <v>476300</v>
      </c>
      <c r="E27" s="42">
        <f>269914.02+7000+11514.14+15000+2400+358.02+7000+3000+15000+1544.4+11514.14+3707+913+7000+11514.14+6000+7000+8669.48+2676.6+14080+10160+1687+11294.9+15000+15000+17079.07+120.93</f>
        <v>476146.84000000008</v>
      </c>
      <c r="F27" s="42">
        <f>269914.02+7000+11514.14+15000+2400+358.02+7000+3000+15000+1544.4+11514.14+3707+913+7000+11514.14+6000+7000+8669.48+2676.6+14080+10160+1687+11294.9+15000+15000+17079.07+120.93</f>
        <v>476146.84000000008</v>
      </c>
      <c r="G27" s="42" t="s">
        <v>66</v>
      </c>
      <c r="H27" s="42" t="s">
        <v>66</v>
      </c>
      <c r="I27" s="42">
        <f>269914.02+7000+11514.14+15000+2400+358.02+7000+3000+15000+1544.4+11514.14+3707+913+7000+11514.14+6000+7000+8669.48+2676.6+14080+10160+1687+11294.9+15000+15000+17079.07+120.93</f>
        <v>476146.84000000008</v>
      </c>
      <c r="J27" s="141">
        <f>D27-I27</f>
        <v>153.15999999991618</v>
      </c>
      <c r="K27" s="44"/>
      <c r="L27" s="25">
        <f>D27-E27-J27</f>
        <v>0</v>
      </c>
    </row>
    <row r="28" spans="1:12" ht="15" customHeight="1">
      <c r="A28" s="28" t="s">
        <v>109</v>
      </c>
      <c r="B28" s="31">
        <v>310</v>
      </c>
      <c r="C28" s="49" t="s">
        <v>235</v>
      </c>
      <c r="D28" s="43">
        <f>100000-13300-3300</f>
        <v>83400</v>
      </c>
      <c r="E28" s="43">
        <f>43718+23540+9830+5670</f>
        <v>82758</v>
      </c>
      <c r="F28" s="43">
        <f>43718+23540+9830+5670</f>
        <v>82758</v>
      </c>
      <c r="G28" s="42" t="s">
        <v>66</v>
      </c>
      <c r="H28" s="42" t="s">
        <v>66</v>
      </c>
      <c r="I28" s="43">
        <f>43718+23540+9830+5670</f>
        <v>82758</v>
      </c>
      <c r="J28" s="141">
        <f>D28-I28</f>
        <v>642</v>
      </c>
      <c r="K28" s="44"/>
      <c r="L28" s="25">
        <f>D28-E28-J28</f>
        <v>0</v>
      </c>
    </row>
    <row r="29" spans="1:12" ht="15" customHeight="1">
      <c r="A29" s="28" t="s">
        <v>57</v>
      </c>
      <c r="B29" s="31">
        <v>340</v>
      </c>
      <c r="C29" s="49" t="s">
        <v>235</v>
      </c>
      <c r="D29" s="43">
        <f>352000-47600-131300</f>
        <v>173100</v>
      </c>
      <c r="E29" s="42">
        <f>112099+31275+1907+2550+5715+1400+4245+13678</f>
        <v>172869</v>
      </c>
      <c r="F29" s="42">
        <f>112099+31275+1907+2550+5715+1400+4245+13678</f>
        <v>172869</v>
      </c>
      <c r="G29" s="42" t="s">
        <v>66</v>
      </c>
      <c r="H29" s="42" t="s">
        <v>66</v>
      </c>
      <c r="I29" s="42">
        <f>112099+31275+1907+2550+5715+1400+4245+13678</f>
        <v>172869</v>
      </c>
      <c r="J29" s="141">
        <f>D29-I29</f>
        <v>231</v>
      </c>
      <c r="K29" s="44"/>
      <c r="L29" s="25">
        <f>D29-E29-J29</f>
        <v>0</v>
      </c>
    </row>
    <row r="30" spans="1:12" ht="15" customHeight="1">
      <c r="A30" s="28" t="s">
        <v>112</v>
      </c>
      <c r="B30" s="31">
        <v>290</v>
      </c>
      <c r="C30" s="49" t="s">
        <v>254</v>
      </c>
      <c r="D30" s="43">
        <v>1600</v>
      </c>
      <c r="E30" s="43">
        <f>786+393+421</f>
        <v>1600</v>
      </c>
      <c r="F30" s="43">
        <v>1600</v>
      </c>
      <c r="G30" s="42" t="s">
        <v>66</v>
      </c>
      <c r="H30" s="42" t="s">
        <v>66</v>
      </c>
      <c r="I30" s="43">
        <v>1600</v>
      </c>
      <c r="J30" s="141">
        <f>D30-I30</f>
        <v>0</v>
      </c>
      <c r="K30" s="44"/>
      <c r="L30" s="25">
        <f>D30-E30-J30</f>
        <v>0</v>
      </c>
    </row>
    <row r="31" spans="1:12" ht="15" customHeight="1">
      <c r="A31" s="28" t="s">
        <v>257</v>
      </c>
      <c r="B31" s="31">
        <v>226</v>
      </c>
      <c r="C31" s="49" t="s">
        <v>258</v>
      </c>
      <c r="D31" s="43">
        <v>31600</v>
      </c>
      <c r="E31" s="43">
        <v>31590</v>
      </c>
      <c r="F31" s="43">
        <v>31590</v>
      </c>
      <c r="G31" s="42" t="s">
        <v>66</v>
      </c>
      <c r="H31" s="42" t="s">
        <v>66</v>
      </c>
      <c r="I31" s="43">
        <v>31590</v>
      </c>
      <c r="J31" s="141">
        <f>D31-I31</f>
        <v>10</v>
      </c>
      <c r="K31" s="44"/>
      <c r="L31" s="25">
        <f>D31-E31-J31</f>
        <v>0</v>
      </c>
    </row>
    <row r="32" spans="1:12" ht="22.5" customHeight="1">
      <c r="A32" s="28" t="s">
        <v>274</v>
      </c>
      <c r="B32" s="31">
        <v>225</v>
      </c>
      <c r="C32" s="49" t="s">
        <v>259</v>
      </c>
      <c r="D32" s="43">
        <f>63000+37000-600</f>
        <v>99400</v>
      </c>
      <c r="E32" s="43">
        <v>99354</v>
      </c>
      <c r="F32" s="43">
        <v>99354</v>
      </c>
      <c r="G32" s="42" t="s">
        <v>66</v>
      </c>
      <c r="H32" s="42" t="s">
        <v>66</v>
      </c>
      <c r="I32" s="43">
        <v>99354</v>
      </c>
      <c r="J32" s="141">
        <f>D32-I32</f>
        <v>46</v>
      </c>
      <c r="K32" s="44"/>
      <c r="L32" s="25">
        <f>D33-E33-J33</f>
        <v>0</v>
      </c>
    </row>
    <row r="33" spans="1:12" ht="36.75" customHeight="1">
      <c r="A33" s="28" t="s">
        <v>113</v>
      </c>
      <c r="B33" s="31">
        <v>340</v>
      </c>
      <c r="C33" s="38" t="s">
        <v>236</v>
      </c>
      <c r="D33" s="42">
        <v>200</v>
      </c>
      <c r="E33" s="42">
        <v>200</v>
      </c>
      <c r="F33" s="42">
        <v>200</v>
      </c>
      <c r="G33" s="42" t="s">
        <v>66</v>
      </c>
      <c r="H33" s="42" t="s">
        <v>66</v>
      </c>
      <c r="I33" s="42">
        <v>200</v>
      </c>
      <c r="J33" s="141">
        <f>D33-I33</f>
        <v>0</v>
      </c>
      <c r="K33" s="44"/>
      <c r="L33" s="25"/>
    </row>
    <row r="34" spans="1:12" s="26" customFormat="1" ht="15" customHeight="1">
      <c r="A34" s="27" t="s">
        <v>58</v>
      </c>
      <c r="B34" s="32"/>
      <c r="C34" s="51" t="s">
        <v>59</v>
      </c>
      <c r="D34" s="52">
        <f>D12+D14+D17+D18+D21+D22+D24+D25+D26+D27+D28+D29+D30+D31+D32+D33</f>
        <v>6204900</v>
      </c>
      <c r="E34" s="52">
        <f>E12+E14+E17+E18+E21+E22+E24+E25+E26+E27+E28+E29+E30+E31+E32+E33</f>
        <v>6203054.3599999994</v>
      </c>
      <c r="F34" s="52">
        <f>F12+F14+F17+F18+F21+F22+F24+F25+F26+F27+F28+F29+F30+F31+F32+F33</f>
        <v>6203054.3599999994</v>
      </c>
      <c r="G34" s="52">
        <f>SUM(G12:G33)-G15-G16-G19-G20</f>
        <v>0</v>
      </c>
      <c r="H34" s="52">
        <f>SUM(H12:H33)-H15-H16-H19-H20</f>
        <v>0</v>
      </c>
      <c r="I34" s="52">
        <f>I12+I14+I17+I18+I21+I22+I24+I25+I26+I27+I28+I29+I30+I31+I32+I33</f>
        <v>6203054.3599999994</v>
      </c>
      <c r="J34" s="52">
        <f>J12+J14+J18+J22+J24+J25+J26+J27+J28+J29+J30+J31+J32+J33</f>
        <v>1818.6399999997338</v>
      </c>
      <c r="K34" s="52">
        <f>SUM(K12:K33)-K15-K16-K19-K20</f>
        <v>0</v>
      </c>
      <c r="L34" s="25"/>
    </row>
    <row r="35" spans="1:12" s="33" customFormat="1" ht="34.15" customHeight="1">
      <c r="A35" s="27" t="s">
        <v>191</v>
      </c>
      <c r="B35" s="32">
        <v>290</v>
      </c>
      <c r="C35" s="51" t="s">
        <v>237</v>
      </c>
      <c r="D35" s="52">
        <f>50000-50000</f>
        <v>0</v>
      </c>
      <c r="E35" s="52">
        <v>0</v>
      </c>
      <c r="F35" s="52">
        <v>0</v>
      </c>
      <c r="G35" s="39" t="s">
        <v>66</v>
      </c>
      <c r="H35" s="39" t="s">
        <v>66</v>
      </c>
      <c r="I35" s="52">
        <v>0</v>
      </c>
      <c r="J35" s="140">
        <f>D35-I35</f>
        <v>0</v>
      </c>
      <c r="K35" s="40"/>
      <c r="L35" s="25"/>
    </row>
    <row r="36" spans="1:12" s="33" customFormat="1" ht="33" customHeight="1">
      <c r="A36" s="28" t="s">
        <v>344</v>
      </c>
      <c r="B36" s="31">
        <v>226</v>
      </c>
      <c r="C36" s="54" t="s">
        <v>266</v>
      </c>
      <c r="D36" s="55">
        <v>110000</v>
      </c>
      <c r="E36" s="55">
        <f>70000+10000+30000</f>
        <v>110000</v>
      </c>
      <c r="F36" s="55">
        <f>70000+10000+30000</f>
        <v>110000</v>
      </c>
      <c r="G36" s="45" t="s">
        <v>66</v>
      </c>
      <c r="H36" s="45" t="s">
        <v>66</v>
      </c>
      <c r="I36" s="55">
        <f>70000+10000+30000</f>
        <v>110000</v>
      </c>
      <c r="J36" s="42">
        <f>D36-I36</f>
        <v>0</v>
      </c>
      <c r="K36" s="47"/>
      <c r="L36" s="25"/>
    </row>
    <row r="37" spans="1:12" s="33" customFormat="1" ht="27.75" customHeight="1">
      <c r="A37" s="28" t="s">
        <v>189</v>
      </c>
      <c r="B37" s="31">
        <v>290</v>
      </c>
      <c r="C37" s="53" t="s">
        <v>267</v>
      </c>
      <c r="D37" s="42">
        <v>1138400</v>
      </c>
      <c r="E37" s="42">
        <f>621578+127778+66695.24+90569+118355+113402</f>
        <v>1138377.24</v>
      </c>
      <c r="F37" s="42">
        <f>621578+127778+66695.24+90569+118355+113402</f>
        <v>1138377.24</v>
      </c>
      <c r="G37" s="45" t="s">
        <v>66</v>
      </c>
      <c r="H37" s="45" t="s">
        <v>66</v>
      </c>
      <c r="I37" s="42">
        <f>621578+127778+66695.24+90569+118355+113402</f>
        <v>1138377.24</v>
      </c>
      <c r="J37" s="141">
        <f>D37-I37</f>
        <v>22.760000000009313</v>
      </c>
      <c r="K37" s="47"/>
      <c r="L37" s="25">
        <f>D38-E38-J38</f>
        <v>0</v>
      </c>
    </row>
    <row r="38" spans="1:12" s="33" customFormat="1" ht="26.25" customHeight="1">
      <c r="A38" s="28" t="s">
        <v>192</v>
      </c>
      <c r="B38" s="31">
        <v>226</v>
      </c>
      <c r="C38" s="53" t="s">
        <v>268</v>
      </c>
      <c r="D38" s="42">
        <v>96300</v>
      </c>
      <c r="E38" s="42">
        <f>53717.4+1500+17914.4+10440+1500+417.2+693+4127.2+1500+1590.4+1500+1376.2</f>
        <v>96275.799999999988</v>
      </c>
      <c r="F38" s="42">
        <f>53717.4+1500+17914.4+10440+1500+417.2+693+4127.2+1500+1590.4+1500+1376.2</f>
        <v>96275.799999999988</v>
      </c>
      <c r="G38" s="45" t="s">
        <v>66</v>
      </c>
      <c r="H38" s="45" t="s">
        <v>66</v>
      </c>
      <c r="I38" s="42">
        <f>53717.4+1500+17914.4+10440+1500+417.2+693+4127.2+1500+1590.4+1500+1376.2</f>
        <v>96275.799999999988</v>
      </c>
      <c r="J38" s="141">
        <f>D38-I38</f>
        <v>24.200000000011642</v>
      </c>
      <c r="K38" s="47"/>
      <c r="L38" s="25">
        <f>D39-E39-J39</f>
        <v>0</v>
      </c>
    </row>
    <row r="39" spans="1:12" s="33" customFormat="1" ht="28.5" customHeight="1">
      <c r="A39" s="28" t="s">
        <v>277</v>
      </c>
      <c r="B39" s="31">
        <v>290</v>
      </c>
      <c r="C39" s="53" t="s">
        <v>252</v>
      </c>
      <c r="D39" s="42">
        <f>200000-107900</f>
        <v>92100</v>
      </c>
      <c r="E39" s="42">
        <v>92000.46</v>
      </c>
      <c r="F39" s="42">
        <v>92000.46</v>
      </c>
      <c r="G39" s="45" t="s">
        <v>66</v>
      </c>
      <c r="H39" s="45" t="s">
        <v>66</v>
      </c>
      <c r="I39" s="42">
        <v>92000.46</v>
      </c>
      <c r="J39" s="141">
        <f>D39-I39</f>
        <v>99.539999999993597</v>
      </c>
      <c r="K39" s="47"/>
      <c r="L39" s="25">
        <f>D40-E40-J40</f>
        <v>0</v>
      </c>
    </row>
    <row r="40" spans="1:12" s="33" customFormat="1" ht="15" customHeight="1">
      <c r="A40" s="28" t="s">
        <v>187</v>
      </c>
      <c r="B40" s="31">
        <v>290</v>
      </c>
      <c r="C40" s="53" t="s">
        <v>238</v>
      </c>
      <c r="D40" s="42">
        <v>20000</v>
      </c>
      <c r="E40" s="42">
        <v>20000</v>
      </c>
      <c r="F40" s="42">
        <v>20000</v>
      </c>
      <c r="G40" s="45" t="s">
        <v>66</v>
      </c>
      <c r="H40" s="45" t="s">
        <v>66</v>
      </c>
      <c r="I40" s="42">
        <v>20000</v>
      </c>
      <c r="J40" s="141">
        <f>D40-I40</f>
        <v>0</v>
      </c>
      <c r="K40" s="47"/>
      <c r="L40" s="25">
        <f>D41-E41-J41</f>
        <v>0</v>
      </c>
    </row>
    <row r="41" spans="1:12" s="33" customFormat="1" ht="15" customHeight="1">
      <c r="A41" s="28" t="s">
        <v>188</v>
      </c>
      <c r="B41" s="31">
        <v>251</v>
      </c>
      <c r="C41" s="53" t="s">
        <v>251</v>
      </c>
      <c r="D41" s="42">
        <v>90100</v>
      </c>
      <c r="E41" s="42">
        <f>46900+22790+7800+5900+6710</f>
        <v>90100</v>
      </c>
      <c r="F41" s="42">
        <f>46900+22790+7800+5900+6710</f>
        <v>90100</v>
      </c>
      <c r="G41" s="45" t="s">
        <v>66</v>
      </c>
      <c r="H41" s="45" t="s">
        <v>66</v>
      </c>
      <c r="I41" s="42">
        <f>46900+22790+7800+5900+6710</f>
        <v>90100</v>
      </c>
      <c r="J41" s="141">
        <f>D41-I41</f>
        <v>0</v>
      </c>
      <c r="K41" s="47"/>
      <c r="L41" s="25" t="e">
        <f>#REF!-#REF!-#REF!</f>
        <v>#REF!</v>
      </c>
    </row>
    <row r="42" spans="1:12" ht="15" customHeight="1">
      <c r="A42" s="27" t="s">
        <v>58</v>
      </c>
      <c r="B42" s="32"/>
      <c r="C42" s="50" t="s">
        <v>67</v>
      </c>
      <c r="D42" s="39">
        <f>D36+D37+D38+D39+D40+D41</f>
        <v>1546900</v>
      </c>
      <c r="E42" s="39">
        <f>E36+E37+E38+E39+E40+E41</f>
        <v>1546753.5</v>
      </c>
      <c r="F42" s="39">
        <f>F36+F37+F38+F39+F40+F41</f>
        <v>1546753.5</v>
      </c>
      <c r="G42" s="39">
        <f>SUM(G36:G41)</f>
        <v>0</v>
      </c>
      <c r="H42" s="39">
        <f>SUM(H36:H41)</f>
        <v>0</v>
      </c>
      <c r="I42" s="39">
        <f>I36+I37+I38+I39+I40+I41</f>
        <v>1546753.5</v>
      </c>
      <c r="J42" s="39">
        <f>SUM(J36:J41)</f>
        <v>146.50000000001455</v>
      </c>
      <c r="K42" s="66"/>
      <c r="L42" s="25">
        <f>D43-E43-J43</f>
        <v>0</v>
      </c>
    </row>
    <row r="43" spans="1:12" ht="15" customHeight="1">
      <c r="A43" s="28" t="s">
        <v>68</v>
      </c>
      <c r="B43" s="31"/>
      <c r="C43" s="38"/>
      <c r="D43" s="42"/>
      <c r="E43" s="42"/>
      <c r="F43" s="42"/>
      <c r="G43" s="45" t="s">
        <v>66</v>
      </c>
      <c r="H43" s="45" t="s">
        <v>66</v>
      </c>
      <c r="I43" s="42"/>
      <c r="J43" s="144"/>
      <c r="K43" s="67"/>
      <c r="L43" s="25">
        <f>D44-E44-J44</f>
        <v>0</v>
      </c>
    </row>
    <row r="44" spans="1:12" ht="15" customHeight="1">
      <c r="A44" s="28" t="s">
        <v>60</v>
      </c>
      <c r="B44" s="31">
        <v>211</v>
      </c>
      <c r="C44" s="38" t="s">
        <v>239</v>
      </c>
      <c r="D44" s="43">
        <v>266200</v>
      </c>
      <c r="E44" s="43">
        <f>202662.56+7200+2128+7902.87+163.67+7600+102.38+1421.29+11181.62+102.38+21983.01+3752.22</f>
        <v>266200</v>
      </c>
      <c r="F44" s="43">
        <f>202662.56+7200+2128+7902.87+163.67+7600+102.38+1421.29+11181.62+102.38+21983.01+3752.22</f>
        <v>266200</v>
      </c>
      <c r="G44" s="45" t="s">
        <v>66</v>
      </c>
      <c r="H44" s="45" t="s">
        <v>66</v>
      </c>
      <c r="I44" s="43">
        <f>202662.56+7200+2128+7902.87+163.67+7600+102.38+1421.29+11181.62+102.38+21983.01+3752.22</f>
        <v>266200</v>
      </c>
      <c r="J44" s="141">
        <f>D44-I44</f>
        <v>0</v>
      </c>
      <c r="K44" s="67"/>
      <c r="L44" s="25">
        <f>D45-E45-J45</f>
        <v>0</v>
      </c>
    </row>
    <row r="45" spans="1:12" ht="15" customHeight="1">
      <c r="A45" s="28" t="s">
        <v>61</v>
      </c>
      <c r="B45" s="31">
        <v>213</v>
      </c>
      <c r="C45" s="38" t="s">
        <v>256</v>
      </c>
      <c r="D45" s="43">
        <v>80500</v>
      </c>
      <c r="E45" s="43">
        <f>58848.78+4282.36+564.49+992.73+38.94+1018.77+39.95+1202.06+4394.72+781.16+6573.56+66.51+1695.97</f>
        <v>80500</v>
      </c>
      <c r="F45" s="43">
        <f>58848.78+4282.36+564.49+992.73+38.94+1018.77+39.95+1202.06+4394.72+781.16+6573.56+66.51+1695.97</f>
        <v>80500</v>
      </c>
      <c r="G45" s="42" t="s">
        <v>66</v>
      </c>
      <c r="H45" s="42" t="s">
        <v>66</v>
      </c>
      <c r="I45" s="43">
        <f>58848.78+4282.36+564.49+992.73+38.94+1018.77+39.95+1202.06+4394.72+781.16+6573.56+66.51+1695.97</f>
        <v>80500</v>
      </c>
      <c r="J45" s="141">
        <f>D45-I45</f>
        <v>0</v>
      </c>
      <c r="K45" s="67"/>
      <c r="L45" s="25"/>
    </row>
    <row r="46" spans="1:12" ht="24" customHeight="1">
      <c r="A46" s="27" t="s">
        <v>62</v>
      </c>
      <c r="B46" s="32"/>
      <c r="C46" s="50" t="s">
        <v>63</v>
      </c>
      <c r="D46" s="39">
        <f>D44+D45</f>
        <v>346700</v>
      </c>
      <c r="E46" s="39">
        <f>SUM(E44:E45)</f>
        <v>346700</v>
      </c>
      <c r="F46" s="39">
        <f>SUM(F44:F45)</f>
        <v>346700</v>
      </c>
      <c r="G46" s="41" t="s">
        <v>66</v>
      </c>
      <c r="H46" s="41" t="s">
        <v>66</v>
      </c>
      <c r="I46" s="39">
        <f>SUM(I44:I45)</f>
        <v>346700</v>
      </c>
      <c r="J46" s="142">
        <f>D46-I46</f>
        <v>0</v>
      </c>
      <c r="K46" s="40"/>
      <c r="L46" s="25"/>
    </row>
    <row r="47" spans="1:12" ht="15" customHeight="1">
      <c r="A47" s="28" t="s">
        <v>114</v>
      </c>
      <c r="B47" s="31">
        <v>226</v>
      </c>
      <c r="C47" s="38" t="s">
        <v>240</v>
      </c>
      <c r="D47" s="227">
        <f>10000-10000</f>
        <v>0</v>
      </c>
      <c r="E47" s="43"/>
      <c r="F47" s="43"/>
      <c r="G47" s="43" t="s">
        <v>66</v>
      </c>
      <c r="H47" s="43" t="s">
        <v>66</v>
      </c>
      <c r="I47" s="43"/>
      <c r="J47" s="141">
        <f>D47-I47</f>
        <v>0</v>
      </c>
      <c r="K47" s="67"/>
      <c r="L47" s="25">
        <f>D48-E48-J48</f>
        <v>0</v>
      </c>
    </row>
    <row r="48" spans="1:12" ht="15" customHeight="1">
      <c r="A48" s="28"/>
      <c r="B48" s="31">
        <v>310</v>
      </c>
      <c r="C48" s="38" t="s">
        <v>240</v>
      </c>
      <c r="D48" s="227">
        <f>20000+10000-300</f>
        <v>29700</v>
      </c>
      <c r="E48" s="43">
        <v>29610</v>
      </c>
      <c r="F48" s="43">
        <v>29610</v>
      </c>
      <c r="G48" s="43" t="s">
        <v>66</v>
      </c>
      <c r="H48" s="43" t="s">
        <v>66</v>
      </c>
      <c r="I48" s="43">
        <v>29610</v>
      </c>
      <c r="J48" s="141">
        <f>D48-I48</f>
        <v>90</v>
      </c>
      <c r="K48" s="40"/>
      <c r="L48" s="25"/>
    </row>
    <row r="49" spans="1:12" s="26" customFormat="1" ht="25.5" customHeight="1">
      <c r="A49" s="28" t="s">
        <v>115</v>
      </c>
      <c r="B49" s="31">
        <v>226</v>
      </c>
      <c r="C49" s="38" t="s">
        <v>241</v>
      </c>
      <c r="D49" s="227">
        <f>10000-10000</f>
        <v>0</v>
      </c>
      <c r="E49" s="43">
        <v>0</v>
      </c>
      <c r="F49" s="43">
        <v>0</v>
      </c>
      <c r="G49" s="43" t="s">
        <v>66</v>
      </c>
      <c r="H49" s="43" t="s">
        <v>66</v>
      </c>
      <c r="I49" s="43">
        <v>0</v>
      </c>
      <c r="J49" s="141">
        <f>D49-I49</f>
        <v>0</v>
      </c>
      <c r="K49" s="67"/>
      <c r="L49" s="25">
        <f>D50-E50-J50</f>
        <v>0</v>
      </c>
    </row>
    <row r="50" spans="1:12" s="26" customFormat="1" ht="29.45" customHeight="1">
      <c r="A50" s="27" t="s">
        <v>58</v>
      </c>
      <c r="B50" s="32"/>
      <c r="C50" s="50" t="s">
        <v>64</v>
      </c>
      <c r="D50" s="39">
        <f>SUM(D47:D49)</f>
        <v>29700</v>
      </c>
      <c r="E50" s="39">
        <f>SUM(E47:E49)</f>
        <v>29610</v>
      </c>
      <c r="F50" s="39">
        <f>SUM(F47:F49)</f>
        <v>29610</v>
      </c>
      <c r="G50" s="39">
        <f>SUM(G47:G49)</f>
        <v>0</v>
      </c>
      <c r="H50" s="39">
        <f>SUM(H47:H49)</f>
        <v>0</v>
      </c>
      <c r="I50" s="39">
        <f>SUM(I47:I49)</f>
        <v>29610</v>
      </c>
      <c r="J50" s="39">
        <f>SUM(J47:J49)</f>
        <v>90</v>
      </c>
      <c r="K50" s="39">
        <f>SUM(K47:K49)</f>
        <v>0</v>
      </c>
      <c r="L50" s="25"/>
    </row>
    <row r="51" spans="1:12" s="26" customFormat="1" ht="29.45" customHeight="1">
      <c r="A51" s="28" t="s">
        <v>282</v>
      </c>
      <c r="B51" s="31">
        <v>225</v>
      </c>
      <c r="C51" s="38" t="s">
        <v>283</v>
      </c>
      <c r="D51" s="42">
        <f>963900+181817</f>
        <v>1145717</v>
      </c>
      <c r="E51" s="42">
        <f>823417+130325+10158+82668.68+99148.32</f>
        <v>1145717</v>
      </c>
      <c r="F51" s="42">
        <f>823417+130325+10158+82668.68+99148.32</f>
        <v>1145717</v>
      </c>
      <c r="G51" s="39"/>
      <c r="H51" s="39"/>
      <c r="I51" s="42">
        <f>823417+130325+10158+82668.68+99148.32</f>
        <v>1145717</v>
      </c>
      <c r="J51" s="39">
        <f>D51-E51</f>
        <v>0</v>
      </c>
      <c r="K51" s="151"/>
      <c r="L51" s="25"/>
    </row>
    <row r="52" spans="1:12" s="26" customFormat="1" ht="29.45" customHeight="1">
      <c r="A52" s="28" t="s">
        <v>284</v>
      </c>
      <c r="B52" s="31">
        <v>226</v>
      </c>
      <c r="C52" s="38" t="s">
        <v>285</v>
      </c>
      <c r="D52" s="42">
        <f>600000-181817</f>
        <v>418183</v>
      </c>
      <c r="E52" s="42">
        <f>20000+99500+99683+99500+30825+68675</f>
        <v>418183</v>
      </c>
      <c r="F52" s="42">
        <f>20000+99500+99683+99500+30825+68675</f>
        <v>418183</v>
      </c>
      <c r="G52" s="39"/>
      <c r="H52" s="39"/>
      <c r="I52" s="42">
        <f>20000+99500+99683+99500+30825+68675</f>
        <v>418183</v>
      </c>
      <c r="J52" s="39">
        <f>D52-E52</f>
        <v>0</v>
      </c>
      <c r="K52" s="151"/>
      <c r="L52" s="25"/>
    </row>
    <row r="53" spans="1:12" s="26" customFormat="1" ht="29.45" customHeight="1">
      <c r="A53" s="28" t="s">
        <v>284</v>
      </c>
      <c r="B53" s="31">
        <v>251</v>
      </c>
      <c r="C53" s="38" t="s">
        <v>294</v>
      </c>
      <c r="D53" s="42">
        <v>270692.2</v>
      </c>
      <c r="E53" s="42">
        <v>270692.2</v>
      </c>
      <c r="F53" s="42">
        <v>270692.2</v>
      </c>
      <c r="G53" s="39"/>
      <c r="H53" s="39"/>
      <c r="I53" s="42">
        <v>270692.2</v>
      </c>
      <c r="J53" s="39">
        <f>D53-E53</f>
        <v>0</v>
      </c>
      <c r="K53" s="151"/>
      <c r="L53" s="25"/>
    </row>
    <row r="54" spans="1:12" s="26" customFormat="1" ht="29.45" customHeight="1">
      <c r="A54" s="27" t="s">
        <v>58</v>
      </c>
      <c r="B54" s="32"/>
      <c r="C54" s="50" t="s">
        <v>286</v>
      </c>
      <c r="D54" s="39">
        <f>D51+D52+D53</f>
        <v>1834592.2</v>
      </c>
      <c r="E54" s="39">
        <f>SUM(E50:E53)</f>
        <v>1864202.2</v>
      </c>
      <c r="F54" s="39">
        <f>SUM(F50:F53)</f>
        <v>1864202.2</v>
      </c>
      <c r="G54" s="39">
        <f>SUM(G50:G52)</f>
        <v>0</v>
      </c>
      <c r="H54" s="39">
        <f>SUM(H50:H52)</f>
        <v>0</v>
      </c>
      <c r="I54" s="39">
        <f>SUM(I50:I53)</f>
        <v>1864202.2</v>
      </c>
      <c r="J54" s="39">
        <f>SUM(J51:J53)</f>
        <v>0</v>
      </c>
      <c r="K54" s="39">
        <f>SUM(K50:K52)</f>
        <v>0</v>
      </c>
      <c r="L54" s="25"/>
    </row>
    <row r="55" spans="1:12" s="26" customFormat="1" ht="29.45" customHeight="1">
      <c r="A55" s="27" t="s">
        <v>289</v>
      </c>
      <c r="B55" s="32">
        <v>226</v>
      </c>
      <c r="C55" s="38" t="s">
        <v>287</v>
      </c>
      <c r="D55" s="42">
        <v>1198.6400000000001</v>
      </c>
      <c r="E55" s="42">
        <v>1198.6400000000001</v>
      </c>
      <c r="F55" s="42">
        <v>1198.6400000000001</v>
      </c>
      <c r="G55" s="39"/>
      <c r="H55" s="39"/>
      <c r="I55" s="42">
        <v>1198.6400000000001</v>
      </c>
      <c r="J55" s="39"/>
      <c r="K55" s="151"/>
      <c r="L55" s="25"/>
    </row>
    <row r="56" spans="1:12" s="26" customFormat="1" ht="29.45" customHeight="1">
      <c r="A56" s="27" t="s">
        <v>290</v>
      </c>
      <c r="B56" s="32">
        <v>226</v>
      </c>
      <c r="C56" s="38" t="s">
        <v>287</v>
      </c>
      <c r="D56" s="42">
        <f>128301.36-99500</f>
        <v>28801.360000000001</v>
      </c>
      <c r="E56" s="42">
        <v>28801.360000000001</v>
      </c>
      <c r="F56" s="42">
        <v>28801.360000000001</v>
      </c>
      <c r="G56" s="39"/>
      <c r="H56" s="39"/>
      <c r="I56" s="42">
        <v>28801.360000000001</v>
      </c>
      <c r="J56" s="39"/>
      <c r="K56" s="151"/>
      <c r="L56" s="25"/>
    </row>
    <row r="57" spans="1:12" s="26" customFormat="1" ht="29.45" customHeight="1">
      <c r="A57" s="27"/>
      <c r="B57" s="32"/>
      <c r="C57" s="50" t="s">
        <v>288</v>
      </c>
      <c r="D57" s="39">
        <f>D55+D56</f>
        <v>30000</v>
      </c>
      <c r="E57" s="39">
        <f>E55+E56</f>
        <v>30000</v>
      </c>
      <c r="F57" s="39">
        <f>F55+F56</f>
        <v>30000</v>
      </c>
      <c r="G57" s="39"/>
      <c r="H57" s="39"/>
      <c r="I57" s="39">
        <f>I55+I56</f>
        <v>30000</v>
      </c>
      <c r="J57" s="39"/>
      <c r="K57" s="151"/>
      <c r="L57" s="25"/>
    </row>
    <row r="58" spans="1:12" s="33" customFormat="1" ht="26.25" customHeight="1">
      <c r="A58" s="27" t="s">
        <v>193</v>
      </c>
      <c r="B58" s="32">
        <v>225</v>
      </c>
      <c r="C58" s="50" t="s">
        <v>253</v>
      </c>
      <c r="D58" s="39">
        <f>55000-3900</f>
        <v>51100</v>
      </c>
      <c r="E58" s="39">
        <f>29838.36+4247.51+4247.51+4247.51+4247.51+4247.51</f>
        <v>51075.910000000011</v>
      </c>
      <c r="F58" s="39">
        <f>29838.36+4247.51+4247.51+4247.51+4247.51+4247.51</f>
        <v>51075.910000000011</v>
      </c>
      <c r="G58" s="39" t="s">
        <v>66</v>
      </c>
      <c r="H58" s="39" t="s">
        <v>66</v>
      </c>
      <c r="I58" s="39">
        <f>29838.36+4247.51+4247.51+4247.51+4247.51+4247.51</f>
        <v>51075.910000000011</v>
      </c>
      <c r="J58" s="142">
        <f>D58-I58</f>
        <v>24.089999999989232</v>
      </c>
      <c r="K58" s="40"/>
      <c r="L58" s="25">
        <f>D59-E59-J59</f>
        <v>0</v>
      </c>
    </row>
    <row r="59" spans="1:12" s="33" customFormat="1" ht="26.25" customHeight="1">
      <c r="A59" s="28" t="s">
        <v>293</v>
      </c>
      <c r="B59" s="31">
        <v>310</v>
      </c>
      <c r="C59" s="53" t="s">
        <v>292</v>
      </c>
      <c r="D59" s="42">
        <v>48600</v>
      </c>
      <c r="E59" s="42">
        <v>48600</v>
      </c>
      <c r="F59" s="42">
        <v>48600</v>
      </c>
      <c r="G59" s="39" t="s">
        <v>66</v>
      </c>
      <c r="H59" s="39" t="s">
        <v>66</v>
      </c>
      <c r="I59" s="42">
        <v>48600</v>
      </c>
      <c r="J59" s="141">
        <f>D59-I59</f>
        <v>0</v>
      </c>
      <c r="K59" s="47"/>
      <c r="L59" s="25"/>
    </row>
    <row r="60" spans="1:12" s="33" customFormat="1" ht="26.25" customHeight="1">
      <c r="A60" s="28" t="s">
        <v>295</v>
      </c>
      <c r="B60" s="31">
        <v>225</v>
      </c>
      <c r="C60" s="53" t="s">
        <v>296</v>
      </c>
      <c r="D60" s="42">
        <f>100000-100000</f>
        <v>0</v>
      </c>
      <c r="E60" s="42"/>
      <c r="F60" s="42"/>
      <c r="G60" s="39" t="s">
        <v>66</v>
      </c>
      <c r="H60" s="39" t="s">
        <v>66</v>
      </c>
      <c r="I60" s="42"/>
      <c r="J60" s="141">
        <f>D60-I60</f>
        <v>0</v>
      </c>
      <c r="K60" s="47"/>
      <c r="L60" s="25"/>
    </row>
    <row r="61" spans="1:12" s="33" customFormat="1" ht="26.25" customHeight="1">
      <c r="A61" s="28" t="s">
        <v>293</v>
      </c>
      <c r="B61" s="31">
        <v>340</v>
      </c>
      <c r="C61" s="53" t="s">
        <v>292</v>
      </c>
      <c r="D61" s="42">
        <f>170800-106500</f>
        <v>64300</v>
      </c>
      <c r="E61" s="42">
        <v>64300</v>
      </c>
      <c r="F61" s="42">
        <v>64300</v>
      </c>
      <c r="G61" s="39" t="s">
        <v>66</v>
      </c>
      <c r="H61" s="39" t="s">
        <v>66</v>
      </c>
      <c r="I61" s="42">
        <v>64300</v>
      </c>
      <c r="J61" s="141">
        <f>D61-I61</f>
        <v>0</v>
      </c>
      <c r="K61" s="47"/>
      <c r="L61" s="25"/>
    </row>
    <row r="62" spans="1:12" s="33" customFormat="1" ht="26.25" customHeight="1">
      <c r="A62" s="28" t="s">
        <v>293</v>
      </c>
      <c r="B62" s="31">
        <v>340</v>
      </c>
      <c r="C62" s="53" t="s">
        <v>292</v>
      </c>
      <c r="D62" s="42">
        <f>103900-100000-3900</f>
        <v>0</v>
      </c>
      <c r="E62" s="42"/>
      <c r="F62" s="42"/>
      <c r="G62" s="39" t="s">
        <v>66</v>
      </c>
      <c r="H62" s="39" t="s">
        <v>66</v>
      </c>
      <c r="I62" s="42"/>
      <c r="J62" s="141">
        <f>D62-I62</f>
        <v>0</v>
      </c>
      <c r="K62" s="47"/>
      <c r="L62" s="25"/>
    </row>
    <row r="63" spans="1:12" s="33" customFormat="1" ht="26.25" customHeight="1">
      <c r="A63" s="28" t="s">
        <v>194</v>
      </c>
      <c r="B63" s="31">
        <v>226</v>
      </c>
      <c r="C63" s="53" t="s">
        <v>276</v>
      </c>
      <c r="D63" s="42">
        <f>70000+358000-8000</f>
        <v>420000</v>
      </c>
      <c r="E63" s="42">
        <f>70000+70000+70000+70000+70000+70000</f>
        <v>420000</v>
      </c>
      <c r="F63" s="42">
        <f>70000+70000+70000+70000+70000+70000</f>
        <v>420000</v>
      </c>
      <c r="G63" s="39" t="s">
        <v>66</v>
      </c>
      <c r="H63" s="39" t="s">
        <v>66</v>
      </c>
      <c r="I63" s="42">
        <f>70000+70000+70000+70000+70000+70000</f>
        <v>420000</v>
      </c>
      <c r="J63" s="141">
        <f>D63-I63</f>
        <v>0</v>
      </c>
      <c r="K63" s="47"/>
      <c r="L63" s="25"/>
    </row>
    <row r="64" spans="1:12" s="26" customFormat="1" ht="15.75" customHeight="1">
      <c r="A64" s="28" t="s">
        <v>195</v>
      </c>
      <c r="B64" s="31">
        <v>290</v>
      </c>
      <c r="C64" s="53" t="s">
        <v>242</v>
      </c>
      <c r="D64" s="42">
        <v>57300</v>
      </c>
      <c r="E64" s="42">
        <v>57300</v>
      </c>
      <c r="F64" s="42">
        <v>57300</v>
      </c>
      <c r="G64" s="39" t="s">
        <v>66</v>
      </c>
      <c r="H64" s="39" t="s">
        <v>66</v>
      </c>
      <c r="I64" s="42">
        <v>57300</v>
      </c>
      <c r="J64" s="141">
        <f>D64-I64</f>
        <v>0</v>
      </c>
      <c r="K64" s="66"/>
      <c r="L64" s="25">
        <f>D65-E65-J65</f>
        <v>0</v>
      </c>
    </row>
    <row r="65" spans="1:12" s="26" customFormat="1" ht="24.75" customHeight="1">
      <c r="A65" s="27" t="s">
        <v>73</v>
      </c>
      <c r="B65" s="32"/>
      <c r="C65" s="50" t="s">
        <v>74</v>
      </c>
      <c r="D65" s="39">
        <f>D59+D60+D61+D62+D63+D64</f>
        <v>590200</v>
      </c>
      <c r="E65" s="39">
        <f>SUM(E59:E64)</f>
        <v>590200</v>
      </c>
      <c r="F65" s="39">
        <f>SUM(F59:F64)</f>
        <v>590200</v>
      </c>
      <c r="G65" s="39">
        <f>SUM(G59:G64)</f>
        <v>0</v>
      </c>
      <c r="H65" s="39">
        <f>SUM(H59:H64)</f>
        <v>0</v>
      </c>
      <c r="I65" s="39">
        <f>SUM(I59:I64)</f>
        <v>590200</v>
      </c>
      <c r="J65" s="39">
        <f>SUM(J59:J64)</f>
        <v>0</v>
      </c>
      <c r="K65" s="39"/>
      <c r="L65" s="25">
        <f>D66-E66-J66</f>
        <v>0</v>
      </c>
    </row>
    <row r="66" spans="1:12" ht="20.45" customHeight="1">
      <c r="A66" s="28" t="s">
        <v>116</v>
      </c>
      <c r="B66" s="31">
        <v>225</v>
      </c>
      <c r="C66" s="53" t="s">
        <v>243</v>
      </c>
      <c r="D66" s="42">
        <f>40000-10000-2100</f>
        <v>27900</v>
      </c>
      <c r="E66" s="42">
        <v>27828.39</v>
      </c>
      <c r="F66" s="42">
        <v>27828.39</v>
      </c>
      <c r="G66" s="46" t="s">
        <v>66</v>
      </c>
      <c r="H66" s="46" t="s">
        <v>66</v>
      </c>
      <c r="I66" s="42">
        <v>27828.39</v>
      </c>
      <c r="J66" s="141">
        <f>D66-I66</f>
        <v>71.610000000000582</v>
      </c>
      <c r="K66" s="40"/>
      <c r="L66" s="25">
        <f>D67-E67-J67</f>
        <v>0</v>
      </c>
    </row>
    <row r="67" spans="1:12" ht="20.45" customHeight="1">
      <c r="A67" s="28" t="s">
        <v>245</v>
      </c>
      <c r="B67" s="31">
        <v>225</v>
      </c>
      <c r="C67" s="38" t="s">
        <v>343</v>
      </c>
      <c r="D67" s="43">
        <f>150000-150000</f>
        <v>0</v>
      </c>
      <c r="E67" s="42"/>
      <c r="F67" s="42"/>
      <c r="G67" s="46" t="s">
        <v>66</v>
      </c>
      <c r="H67" s="46" t="s">
        <v>66</v>
      </c>
      <c r="I67" s="42"/>
      <c r="J67" s="78">
        <f>D67-I67</f>
        <v>0</v>
      </c>
      <c r="K67" s="44"/>
      <c r="L67" s="25">
        <f>D69-E69-J69</f>
        <v>0</v>
      </c>
    </row>
    <row r="68" spans="1:12" ht="20.45" customHeight="1">
      <c r="A68" s="28" t="s">
        <v>245</v>
      </c>
      <c r="B68" s="31">
        <v>226</v>
      </c>
      <c r="C68" s="38" t="s">
        <v>343</v>
      </c>
      <c r="D68" s="43">
        <f>79500+150000-107800</f>
        <v>121700</v>
      </c>
      <c r="E68" s="42">
        <f>79484+42200</f>
        <v>121684</v>
      </c>
      <c r="F68" s="42">
        <f>79484+42200</f>
        <v>121684</v>
      </c>
      <c r="G68" s="46" t="s">
        <v>66</v>
      </c>
      <c r="H68" s="46" t="s">
        <v>66</v>
      </c>
      <c r="I68" s="42">
        <f>79484+42200</f>
        <v>121684</v>
      </c>
      <c r="J68" s="78">
        <f>D68-I68</f>
        <v>16</v>
      </c>
      <c r="K68" s="44"/>
      <c r="L68" s="25">
        <f>D70-E70-J70</f>
        <v>0</v>
      </c>
    </row>
    <row r="69" spans="1:12" ht="27" customHeight="1">
      <c r="A69" s="28" t="s">
        <v>244</v>
      </c>
      <c r="B69" s="31">
        <v>225</v>
      </c>
      <c r="C69" s="38" t="s">
        <v>342</v>
      </c>
      <c r="D69" s="227">
        <f>400000+300000-300</f>
        <v>699700</v>
      </c>
      <c r="E69" s="42">
        <f>99956+99880+99922+99976+99996+99971+99990</f>
        <v>699691</v>
      </c>
      <c r="F69" s="42">
        <f>99956+99880+99922+99976+99996+99971+99990</f>
        <v>699691</v>
      </c>
      <c r="G69" s="46" t="s">
        <v>66</v>
      </c>
      <c r="H69" s="46" t="s">
        <v>66</v>
      </c>
      <c r="I69" s="42">
        <f>99956+99880+99922+99976+99996+99971+99990</f>
        <v>699691</v>
      </c>
      <c r="J69" s="78">
        <f>D69-I69</f>
        <v>9</v>
      </c>
      <c r="K69" s="44"/>
      <c r="L69" s="25">
        <f>D70-E70-J70</f>
        <v>0</v>
      </c>
    </row>
    <row r="70" spans="1:12" ht="24.6" customHeight="1">
      <c r="A70" s="28" t="s">
        <v>117</v>
      </c>
      <c r="B70" s="31">
        <v>223</v>
      </c>
      <c r="C70" s="38" t="s">
        <v>246</v>
      </c>
      <c r="D70" s="43">
        <f>1408200+136200-136200</f>
        <v>1408200</v>
      </c>
      <c r="E70" s="42">
        <f>942369.98+24446.77+48754.3+36565.72+65256.88+70677.33+73201.07+53008+21045.5+72874.25</f>
        <v>1408199.8</v>
      </c>
      <c r="F70" s="42">
        <f>942369.98+24446.77+48754.3+36565.72+65256.88+70677.33+73201.07+53008+21045.5+72874.25</f>
        <v>1408199.8</v>
      </c>
      <c r="G70" s="46" t="s">
        <v>66</v>
      </c>
      <c r="H70" s="46" t="s">
        <v>66</v>
      </c>
      <c r="I70" s="42">
        <f>942369.98+24446.77+48754.3+36565.72+65256.88+70677.33+73201.07+53008+21045.5+72874.25</f>
        <v>1408199.8</v>
      </c>
      <c r="J70" s="78">
        <f>D70-I70</f>
        <v>0.19999999995343387</v>
      </c>
      <c r="K70" s="44"/>
      <c r="L70" s="25">
        <f>D71-E71-J71</f>
        <v>0</v>
      </c>
    </row>
    <row r="71" spans="1:12" ht="24.6" customHeight="1">
      <c r="A71" s="28" t="s">
        <v>270</v>
      </c>
      <c r="B71" s="31">
        <v>340</v>
      </c>
      <c r="C71" s="38" t="s">
        <v>260</v>
      </c>
      <c r="D71" s="43">
        <f>150000-150000</f>
        <v>0</v>
      </c>
      <c r="E71" s="42"/>
      <c r="F71" s="42"/>
      <c r="G71" s="46" t="s">
        <v>66</v>
      </c>
      <c r="H71" s="46" t="s">
        <v>66</v>
      </c>
      <c r="I71" s="42"/>
      <c r="J71" s="150">
        <f>D71-I71</f>
        <v>0</v>
      </c>
      <c r="K71" s="44"/>
      <c r="L71" s="25">
        <f>D72-E72-J72</f>
        <v>0</v>
      </c>
    </row>
    <row r="72" spans="1:12" ht="24.6" customHeight="1">
      <c r="A72" s="28" t="s">
        <v>271</v>
      </c>
      <c r="B72" s="31">
        <v>225</v>
      </c>
      <c r="C72" s="38" t="s">
        <v>261</v>
      </c>
      <c r="D72" s="43">
        <f>200000-101500-98500</f>
        <v>0</v>
      </c>
      <c r="E72" s="42"/>
      <c r="F72" s="42"/>
      <c r="G72" s="46" t="s">
        <v>66</v>
      </c>
      <c r="H72" s="46" t="s">
        <v>66</v>
      </c>
      <c r="I72" s="42"/>
      <c r="J72" s="150">
        <f>D72-I72</f>
        <v>0</v>
      </c>
      <c r="K72" s="44"/>
      <c r="L72" s="25">
        <f>D73-E73-J73</f>
        <v>0</v>
      </c>
    </row>
    <row r="73" spans="1:12" ht="27.75" customHeight="1">
      <c r="A73" s="28" t="s">
        <v>272</v>
      </c>
      <c r="B73" s="31">
        <v>310</v>
      </c>
      <c r="C73" s="38" t="s">
        <v>262</v>
      </c>
      <c r="D73" s="43">
        <f>200000+100000-3000</f>
        <v>297000</v>
      </c>
      <c r="E73" s="42">
        <f>99000+99000+99000</f>
        <v>297000</v>
      </c>
      <c r="F73" s="42">
        <f>99000+99000+99000</f>
        <v>297000</v>
      </c>
      <c r="G73" s="46" t="s">
        <v>66</v>
      </c>
      <c r="H73" s="46" t="s">
        <v>66</v>
      </c>
      <c r="I73" s="42">
        <f>99000+99000+99000</f>
        <v>297000</v>
      </c>
      <c r="J73" s="150">
        <f>D73-I73</f>
        <v>0</v>
      </c>
      <c r="K73" s="44"/>
      <c r="L73" s="25">
        <f>D74-E74-J74</f>
        <v>0</v>
      </c>
    </row>
    <row r="74" spans="1:12" ht="27.75" customHeight="1">
      <c r="A74" s="28" t="s">
        <v>273</v>
      </c>
      <c r="B74" s="31">
        <v>225</v>
      </c>
      <c r="C74" s="38" t="s">
        <v>263</v>
      </c>
      <c r="D74" s="43">
        <f>1129600-82900-337700-100000-133500</f>
        <v>475500</v>
      </c>
      <c r="E74" s="42">
        <f>140803.81+42072.87+99440+93000+100000</f>
        <v>475316.68</v>
      </c>
      <c r="F74" s="42">
        <f>140803.81+42072.87+99440+93000+100000</f>
        <v>475316.68</v>
      </c>
      <c r="G74" s="46" t="s">
        <v>66</v>
      </c>
      <c r="H74" s="46" t="s">
        <v>66</v>
      </c>
      <c r="I74" s="42">
        <f>140803.81+42072.87+99440+93000+100000</f>
        <v>475316.68</v>
      </c>
      <c r="J74" s="141">
        <f>D74-I74</f>
        <v>183.32000000000698</v>
      </c>
      <c r="K74" s="67"/>
      <c r="L74" s="25">
        <f>D76-E76-J76</f>
        <v>0</v>
      </c>
    </row>
    <row r="75" spans="1:12" ht="27.75" customHeight="1">
      <c r="A75" s="28" t="s">
        <v>273</v>
      </c>
      <c r="B75" s="31">
        <v>225</v>
      </c>
      <c r="C75" s="38" t="s">
        <v>291</v>
      </c>
      <c r="D75" s="43">
        <v>470000</v>
      </c>
      <c r="E75" s="42">
        <v>470000</v>
      </c>
      <c r="F75" s="42">
        <v>470000</v>
      </c>
      <c r="G75" s="46" t="s">
        <v>66</v>
      </c>
      <c r="H75" s="46" t="s">
        <v>66</v>
      </c>
      <c r="I75" s="42">
        <v>470000</v>
      </c>
      <c r="J75" s="141">
        <f>D75-I75</f>
        <v>0</v>
      </c>
      <c r="K75" s="67"/>
      <c r="L75" s="25">
        <f>D77-E77-J77</f>
        <v>0</v>
      </c>
    </row>
    <row r="76" spans="1:12" ht="22.9" customHeight="1">
      <c r="A76" s="28" t="s">
        <v>269</v>
      </c>
      <c r="B76" s="31">
        <v>225</v>
      </c>
      <c r="C76" s="38" t="s">
        <v>278</v>
      </c>
      <c r="D76" s="43">
        <v>54980</v>
      </c>
      <c r="E76" s="42">
        <f>49980+5000</f>
        <v>54980</v>
      </c>
      <c r="F76" s="42">
        <f>49980+5000</f>
        <v>54980</v>
      </c>
      <c r="G76" s="46" t="s">
        <v>66</v>
      </c>
      <c r="H76" s="46" t="s">
        <v>66</v>
      </c>
      <c r="I76" s="42">
        <f>49980+5000</f>
        <v>54980</v>
      </c>
      <c r="J76" s="141">
        <f>D76-I76</f>
        <v>0</v>
      </c>
      <c r="K76" s="67"/>
      <c r="L76" s="25">
        <f>D78-E78-J78</f>
        <v>0</v>
      </c>
    </row>
    <row r="77" spans="1:12" ht="22.9" customHeight="1">
      <c r="A77" s="28" t="s">
        <v>269</v>
      </c>
      <c r="B77" s="31">
        <v>226</v>
      </c>
      <c r="C77" s="38" t="s">
        <v>278</v>
      </c>
      <c r="D77" s="43">
        <f>25020-25000</f>
        <v>20</v>
      </c>
      <c r="E77" s="42">
        <v>0</v>
      </c>
      <c r="F77" s="42">
        <v>0</v>
      </c>
      <c r="G77" s="46" t="s">
        <v>66</v>
      </c>
      <c r="H77" s="46" t="s">
        <v>66</v>
      </c>
      <c r="I77" s="42">
        <v>0</v>
      </c>
      <c r="J77" s="141">
        <f>D77-I77</f>
        <v>20</v>
      </c>
      <c r="K77" s="67"/>
      <c r="L77" s="25">
        <f>D79-E79-J79</f>
        <v>-7.2759576141834259E-11</v>
      </c>
    </row>
    <row r="78" spans="1:12" s="26" customFormat="1" ht="15" customHeight="1">
      <c r="A78" s="28" t="s">
        <v>118</v>
      </c>
      <c r="B78" s="31">
        <v>224</v>
      </c>
      <c r="C78" s="38" t="s">
        <v>247</v>
      </c>
      <c r="D78" s="43">
        <f>35900-3600</f>
        <v>32300</v>
      </c>
      <c r="E78" s="42">
        <f>16140+5380+10760</f>
        <v>32280</v>
      </c>
      <c r="F78" s="42">
        <f>16140+5380+10760</f>
        <v>32280</v>
      </c>
      <c r="G78" s="46" t="s">
        <v>66</v>
      </c>
      <c r="H78" s="46" t="s">
        <v>66</v>
      </c>
      <c r="I78" s="42">
        <f>16140+5380+10760</f>
        <v>32280</v>
      </c>
      <c r="J78" s="141">
        <f>D78-I78</f>
        <v>20</v>
      </c>
      <c r="K78" s="67"/>
      <c r="L78" s="25">
        <f>D79-E79-J79</f>
        <v>-7.2759576141834259E-11</v>
      </c>
    </row>
    <row r="79" spans="1:12" s="26" customFormat="1" ht="25.9" customHeight="1">
      <c r="A79" s="27" t="s">
        <v>58</v>
      </c>
      <c r="B79" s="32"/>
      <c r="C79" s="50" t="s">
        <v>65</v>
      </c>
      <c r="D79" s="39">
        <f>D66+D67+D68+D69+D70+D71+D72+D73+D74+D75+D76+D77+D78</f>
        <v>3587300</v>
      </c>
      <c r="E79" s="39">
        <f>SUM(E66:E78)</f>
        <v>3586979.87</v>
      </c>
      <c r="F79" s="39">
        <f>SUM(F66:F78)</f>
        <v>3586979.87</v>
      </c>
      <c r="G79" s="39">
        <f>SUM(G66:G78)</f>
        <v>0</v>
      </c>
      <c r="H79" s="39">
        <f>SUM(H66:H78)</f>
        <v>0</v>
      </c>
      <c r="I79" s="39">
        <f>SUM(I66:I78)</f>
        <v>3586979.87</v>
      </c>
      <c r="J79" s="142">
        <f>SUM(J66:J78)</f>
        <v>320.129999999961</v>
      </c>
      <c r="K79" s="66"/>
      <c r="L79" s="25">
        <f>D82-E82-J82</f>
        <v>0</v>
      </c>
    </row>
    <row r="80" spans="1:12" s="26" customFormat="1" ht="15" customHeight="1">
      <c r="A80" s="28" t="s">
        <v>279</v>
      </c>
      <c r="B80" s="31">
        <v>226</v>
      </c>
      <c r="C80" s="38" t="s">
        <v>264</v>
      </c>
      <c r="D80" s="227">
        <f>30000-24000</f>
        <v>6000</v>
      </c>
      <c r="E80" s="42">
        <v>6000</v>
      </c>
      <c r="F80" s="42">
        <v>6000</v>
      </c>
      <c r="G80" s="46" t="s">
        <v>66</v>
      </c>
      <c r="H80" s="46" t="s">
        <v>66</v>
      </c>
      <c r="I80" s="42">
        <v>6000</v>
      </c>
      <c r="J80" s="141">
        <f>D80-I80</f>
        <v>0</v>
      </c>
      <c r="K80" s="67"/>
      <c r="L80" s="25">
        <f>D82-E82-J82</f>
        <v>0</v>
      </c>
    </row>
    <row r="81" spans="1:13" s="26" customFormat="1" ht="25.9" customHeight="1">
      <c r="A81" s="27" t="s">
        <v>58</v>
      </c>
      <c r="B81" s="32"/>
      <c r="C81" s="50" t="s">
        <v>265</v>
      </c>
      <c r="D81" s="39">
        <f>30000-24000</f>
        <v>6000</v>
      </c>
      <c r="E81" s="39">
        <v>6000</v>
      </c>
      <c r="F81" s="39">
        <v>6000</v>
      </c>
      <c r="G81" s="39">
        <f>SUM(G69:G80)</f>
        <v>0</v>
      </c>
      <c r="H81" s="39">
        <f>SUM(H69:H80)</f>
        <v>0</v>
      </c>
      <c r="I81" s="39">
        <v>6000</v>
      </c>
      <c r="J81" s="142">
        <f>D81-I81</f>
        <v>0</v>
      </c>
      <c r="K81" s="66"/>
      <c r="L81" s="25"/>
    </row>
    <row r="82" spans="1:13" s="26" customFormat="1" ht="25.5" customHeight="1">
      <c r="A82" s="27" t="s">
        <v>119</v>
      </c>
      <c r="B82" s="32"/>
      <c r="C82" s="50"/>
      <c r="D82" s="39"/>
      <c r="E82" s="39"/>
      <c r="F82" s="39"/>
      <c r="G82" s="39"/>
      <c r="H82" s="39"/>
      <c r="I82" s="39"/>
      <c r="J82" s="140"/>
      <c r="K82" s="66"/>
      <c r="L82" s="25">
        <f>D83-E83-J83</f>
        <v>0</v>
      </c>
      <c r="M82" s="148"/>
    </row>
    <row r="83" spans="1:13" s="26" customFormat="1" ht="25.5" customHeight="1">
      <c r="A83" s="28" t="s">
        <v>120</v>
      </c>
      <c r="B83" s="31">
        <v>241</v>
      </c>
      <c r="C83" s="53" t="s">
        <v>248</v>
      </c>
      <c r="D83" s="42">
        <v>62500</v>
      </c>
      <c r="E83" s="42">
        <f>44476.16+17974.67</f>
        <v>62450.83</v>
      </c>
      <c r="F83" s="42">
        <f>44476.16+17974.67</f>
        <v>62450.83</v>
      </c>
      <c r="G83" s="42" t="s">
        <v>66</v>
      </c>
      <c r="H83" s="42" t="s">
        <v>66</v>
      </c>
      <c r="I83" s="42">
        <f>44476.16+17974.67</f>
        <v>62450.83</v>
      </c>
      <c r="J83" s="144">
        <f>D83-I83</f>
        <v>49.169999999998254</v>
      </c>
      <c r="K83" s="66"/>
      <c r="L83" s="25"/>
      <c r="M83" s="148"/>
    </row>
    <row r="84" spans="1:13" s="26" customFormat="1" ht="29.25" customHeight="1">
      <c r="A84" s="27" t="s">
        <v>58</v>
      </c>
      <c r="B84" s="32"/>
      <c r="C84" s="51" t="s">
        <v>75</v>
      </c>
      <c r="D84" s="52">
        <f>SUM(D83:D83)</f>
        <v>62500</v>
      </c>
      <c r="E84" s="52">
        <f>SUM(E83:E83)</f>
        <v>62450.83</v>
      </c>
      <c r="F84" s="52">
        <f>SUM(F83:F83)</f>
        <v>62450.83</v>
      </c>
      <c r="G84" s="52">
        <f>SUM(G83:G83)</f>
        <v>0</v>
      </c>
      <c r="H84" s="52">
        <f>SUM(H83:H83)</f>
        <v>0</v>
      </c>
      <c r="I84" s="52">
        <f>SUM(I83:I83)</f>
        <v>62450.83</v>
      </c>
      <c r="J84" s="52">
        <f>SUM(J83:J83)</f>
        <v>49.169999999998254</v>
      </c>
      <c r="K84" s="39">
        <f>SUM(K83:K83)</f>
        <v>0</v>
      </c>
      <c r="L84" s="25">
        <f>D85-E85-J85</f>
        <v>0</v>
      </c>
      <c r="M84" s="148"/>
    </row>
    <row r="85" spans="1:13" s="26" customFormat="1" ht="33.75" customHeight="1">
      <c r="A85" s="27" t="s">
        <v>121</v>
      </c>
      <c r="B85" s="32">
        <v>263</v>
      </c>
      <c r="C85" s="51" t="s">
        <v>249</v>
      </c>
      <c r="D85" s="52">
        <f>346500-116300</f>
        <v>230200</v>
      </c>
      <c r="E85" s="52">
        <f>135613.95+14101.98+4805.11+14101.98+4805.11+14101.98+4805.11+4805.11+14101.98+4805.11+14101.98</f>
        <v>230149.4</v>
      </c>
      <c r="F85" s="52">
        <f>135613.95+14101.98+4805.11+14101.98+4805.11+14101.98+4805.11+4805.11+14101.98+4805.11+14101.98</f>
        <v>230149.4</v>
      </c>
      <c r="G85" s="52" t="s">
        <v>66</v>
      </c>
      <c r="H85" s="52" t="s">
        <v>66</v>
      </c>
      <c r="I85" s="52">
        <f>135613.95+14101.98+4805.11+14101.98+4805.11+14101.98+4805.11+4805.11+14101.98+4805.11+14101.98</f>
        <v>230149.4</v>
      </c>
      <c r="J85" s="149">
        <f>D85-I85</f>
        <v>50.600000000005821</v>
      </c>
      <c r="K85" s="66"/>
      <c r="L85" s="25">
        <f>D86-E86-J86</f>
        <v>0</v>
      </c>
    </row>
    <row r="86" spans="1:13" s="26" customFormat="1" ht="24" customHeight="1">
      <c r="A86" s="27" t="s">
        <v>122</v>
      </c>
      <c r="B86" s="31">
        <v>340</v>
      </c>
      <c r="C86" s="54" t="s">
        <v>250</v>
      </c>
      <c r="D86" s="55">
        <f>18000+7000-7000</f>
        <v>18000</v>
      </c>
      <c r="E86" s="55">
        <v>18000</v>
      </c>
      <c r="F86" s="55">
        <v>18000</v>
      </c>
      <c r="G86" s="55" t="s">
        <v>66</v>
      </c>
      <c r="H86" s="55" t="s">
        <v>66</v>
      </c>
      <c r="I86" s="55">
        <v>18000</v>
      </c>
      <c r="J86" s="77">
        <f>D86-I86</f>
        <v>0</v>
      </c>
      <c r="K86" s="66"/>
      <c r="L86" s="25">
        <f>D87-E87-J87</f>
        <v>0</v>
      </c>
    </row>
    <row r="87" spans="1:13" ht="18" customHeight="1" thickBot="1">
      <c r="A87" s="27"/>
      <c r="B87" s="32"/>
      <c r="C87" s="50" t="s">
        <v>190</v>
      </c>
      <c r="D87" s="39">
        <f>D86</f>
        <v>18000</v>
      </c>
      <c r="E87" s="39">
        <v>18000</v>
      </c>
      <c r="F87" s="39">
        <v>18000</v>
      </c>
      <c r="G87" s="39" t="str">
        <f>G86</f>
        <v>0</v>
      </c>
      <c r="H87" s="39" t="str">
        <f>H86</f>
        <v>0</v>
      </c>
      <c r="I87" s="39">
        <v>18000</v>
      </c>
      <c r="J87" s="39">
        <f>J86</f>
        <v>0</v>
      </c>
      <c r="K87" s="40"/>
      <c r="L87" s="25">
        <f>D88-E88-J88</f>
        <v>0</v>
      </c>
    </row>
    <row r="88" spans="1:13" ht="9" customHeight="1" thickBot="1">
      <c r="A88" s="28"/>
      <c r="B88" s="68"/>
      <c r="C88" s="34"/>
      <c r="D88" s="48"/>
      <c r="E88" s="48"/>
      <c r="F88" s="48"/>
      <c r="G88" s="48"/>
      <c r="H88" s="48"/>
      <c r="I88" s="48"/>
      <c r="J88" s="145"/>
      <c r="K88" s="69"/>
      <c r="L88" s="25"/>
    </row>
    <row r="89" spans="1:13" ht="13.5" thickBot="1">
      <c r="A89" s="35"/>
      <c r="B89" s="60">
        <v>450</v>
      </c>
      <c r="C89" s="61" t="s">
        <v>19</v>
      </c>
      <c r="D89" s="62" t="s">
        <v>19</v>
      </c>
      <c r="E89" s="62" t="s">
        <v>19</v>
      </c>
      <c r="F89" s="62" t="s">
        <v>19</v>
      </c>
      <c r="G89" s="63"/>
      <c r="H89" s="63"/>
      <c r="I89" s="62" t="s">
        <v>19</v>
      </c>
      <c r="J89" s="146"/>
      <c r="K89" s="64" t="s">
        <v>19</v>
      </c>
    </row>
    <row r="90" spans="1:13" ht="23.25" thickBot="1">
      <c r="A90" s="36" t="s">
        <v>38</v>
      </c>
      <c r="B90" s="56"/>
      <c r="C90" s="57"/>
      <c r="D90" s="58"/>
      <c r="E90" s="58"/>
      <c r="F90" s="58"/>
      <c r="G90" s="58"/>
      <c r="H90" s="58"/>
      <c r="I90" s="58"/>
      <c r="J90" s="58"/>
      <c r="K90" s="59"/>
    </row>
    <row r="91" spans="1:13">
      <c r="D91" s="37"/>
      <c r="E91" s="37"/>
      <c r="F91" s="37"/>
      <c r="G91" s="37"/>
      <c r="H91" s="37"/>
      <c r="I91" s="37"/>
      <c r="K91" s="37"/>
    </row>
    <row r="92" spans="1:13">
      <c r="D92" s="37">
        <v>14464100</v>
      </c>
      <c r="E92" s="37">
        <v>1674469.27</v>
      </c>
      <c r="F92" s="37">
        <v>1674469.27</v>
      </c>
      <c r="G92" s="37">
        <v>15287384.039999999</v>
      </c>
      <c r="H92" s="37">
        <v>15287384.039999999</v>
      </c>
      <c r="I92" s="37">
        <f>E92</f>
        <v>1674469.27</v>
      </c>
      <c r="J92" s="37">
        <f>D92-E92</f>
        <v>12789630.73</v>
      </c>
      <c r="K92" s="37"/>
    </row>
    <row r="93" spans="1:13">
      <c r="D93" s="37">
        <f>D10-D92</f>
        <v>73992.199999999255</v>
      </c>
      <c r="E93" s="37">
        <f>E10-E92</f>
        <v>12861096.800000001</v>
      </c>
      <c r="F93" s="37">
        <f>F10-F92</f>
        <v>12861096.800000001</v>
      </c>
      <c r="G93" s="37"/>
      <c r="H93" s="37"/>
      <c r="I93" s="37">
        <f>I10-I92</f>
        <v>12861096.800000001</v>
      </c>
      <c r="J93" s="37">
        <f>J10-J92</f>
        <v>-12787104.600000001</v>
      </c>
      <c r="K93" s="37">
        <f>K10-K92</f>
        <v>0</v>
      </c>
    </row>
    <row r="94" spans="1:13">
      <c r="D94" s="37"/>
      <c r="E94" s="37"/>
      <c r="F94" s="37"/>
      <c r="G94" s="37"/>
      <c r="H94" s="37"/>
      <c r="I94" s="37"/>
      <c r="K94" s="37"/>
    </row>
    <row r="95" spans="1:13">
      <c r="D95" s="37"/>
      <c r="E95" s="37"/>
      <c r="F95" s="37"/>
      <c r="G95" s="37"/>
      <c r="H95" s="37"/>
      <c r="I95" s="37"/>
      <c r="K95" s="37"/>
    </row>
    <row r="96" spans="1:13">
      <c r="D96" s="37"/>
      <c r="E96" s="37"/>
      <c r="F96" s="37"/>
      <c r="G96" s="37"/>
      <c r="H96" s="37"/>
      <c r="I96" s="37"/>
      <c r="K96" s="37"/>
    </row>
    <row r="97" spans="4:11">
      <c r="D97" s="37"/>
      <c r="E97" s="37"/>
      <c r="F97" s="37"/>
      <c r="G97" s="37"/>
      <c r="H97" s="37"/>
      <c r="I97" s="37"/>
      <c r="K97" s="37"/>
    </row>
    <row r="98" spans="4:11">
      <c r="D98" s="37"/>
      <c r="E98" s="37"/>
      <c r="F98" s="37"/>
      <c r="G98" s="37"/>
      <c r="H98" s="37"/>
      <c r="I98" s="37"/>
      <c r="K98" s="37"/>
    </row>
    <row r="99" spans="4:11">
      <c r="D99" s="37"/>
      <c r="E99" s="37"/>
      <c r="F99" s="37"/>
      <c r="G99" s="37"/>
      <c r="H99" s="37"/>
      <c r="I99" s="37"/>
      <c r="K99" s="37"/>
    </row>
    <row r="100" spans="4:11">
      <c r="D100" s="37"/>
      <c r="E100" s="37"/>
      <c r="F100" s="37"/>
      <c r="G100" s="37"/>
      <c r="H100" s="37"/>
      <c r="I100" s="37"/>
      <c r="K100" s="37"/>
    </row>
    <row r="101" spans="4:11">
      <c r="D101" s="37"/>
      <c r="E101" s="37"/>
      <c r="F101" s="37"/>
      <c r="G101" s="37"/>
      <c r="H101" s="37"/>
      <c r="I101" s="37"/>
      <c r="K101" s="37"/>
    </row>
    <row r="102" spans="4:11">
      <c r="D102" s="37"/>
      <c r="E102" s="37"/>
      <c r="F102" s="37"/>
      <c r="G102" s="37"/>
      <c r="H102" s="37"/>
      <c r="I102" s="37"/>
      <c r="K102" s="37"/>
    </row>
    <row r="103" spans="4:11">
      <c r="D103" s="37"/>
      <c r="E103" s="37"/>
      <c r="F103" s="37"/>
      <c r="G103" s="37"/>
      <c r="H103" s="37"/>
      <c r="I103" s="37"/>
      <c r="K103" s="37"/>
    </row>
    <row r="104" spans="4:11">
      <c r="D104" s="37"/>
      <c r="E104" s="37"/>
      <c r="F104" s="37"/>
      <c r="G104" s="37"/>
      <c r="H104" s="37"/>
      <c r="I104" s="37"/>
      <c r="K104" s="37"/>
    </row>
    <row r="105" spans="4:11">
      <c r="D105" s="37"/>
      <c r="E105" s="37"/>
      <c r="F105" s="37"/>
      <c r="G105" s="37"/>
      <c r="H105" s="37"/>
      <c r="I105" s="37"/>
      <c r="K105" s="37"/>
    </row>
    <row r="106" spans="4:11">
      <c r="D106" s="37"/>
      <c r="E106" s="37"/>
      <c r="F106" s="37"/>
      <c r="G106" s="37"/>
      <c r="H106" s="37"/>
      <c r="I106" s="37"/>
      <c r="K106" s="37"/>
    </row>
    <row r="107" spans="4:11">
      <c r="D107" s="37"/>
      <c r="E107" s="37"/>
      <c r="F107" s="37"/>
      <c r="G107" s="37"/>
      <c r="H107" s="37"/>
      <c r="I107" s="37"/>
      <c r="K107" s="37"/>
    </row>
    <row r="108" spans="4:11">
      <c r="D108" s="37"/>
      <c r="E108" s="37"/>
      <c r="F108" s="37"/>
      <c r="G108" s="37"/>
      <c r="H108" s="37"/>
      <c r="I108" s="37"/>
      <c r="K108" s="37"/>
    </row>
    <row r="109" spans="4:11">
      <c r="D109" s="37"/>
      <c r="E109" s="37"/>
      <c r="F109" s="37"/>
      <c r="G109" s="37"/>
      <c r="H109" s="37"/>
      <c r="I109" s="37"/>
      <c r="K109" s="37"/>
    </row>
    <row r="110" spans="4:11">
      <c r="D110" s="37"/>
      <c r="E110" s="37"/>
      <c r="F110" s="37"/>
      <c r="G110" s="37"/>
      <c r="H110" s="37"/>
      <c r="I110" s="37"/>
      <c r="K110" s="37"/>
    </row>
    <row r="111" spans="4:11">
      <c r="D111" s="37"/>
      <c r="E111" s="37"/>
      <c r="F111" s="37"/>
      <c r="G111" s="37"/>
      <c r="H111" s="37"/>
      <c r="I111" s="37"/>
      <c r="K111" s="37"/>
    </row>
    <row r="112" spans="4:11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</sheetData>
  <mergeCells count="1">
    <mergeCell ref="F3:I4"/>
  </mergeCells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="90" zoomScaleNormal="90" zoomScaleSheetLayoutView="90" workbookViewId="0">
      <selection activeCell="H23" sqref="H23"/>
    </sheetView>
  </sheetViews>
  <sheetFormatPr defaultColWidth="8.85546875" defaultRowHeight="15.75"/>
  <cols>
    <col min="1" max="1" width="40.140625" style="110" customWidth="1"/>
    <col min="2" max="2" width="8.42578125" style="110" customWidth="1"/>
    <col min="3" max="3" width="24.28515625" style="110" customWidth="1"/>
    <col min="4" max="4" width="20.7109375" style="111" customWidth="1"/>
    <col min="5" max="5" width="17.140625" style="115" customWidth="1"/>
    <col min="6" max="6" width="14.7109375" style="111" customWidth="1"/>
    <col min="7" max="7" width="12.7109375" style="111" customWidth="1"/>
    <col min="8" max="8" width="17" style="111" customWidth="1"/>
    <col min="9" max="9" width="16.140625" style="89" customWidth="1"/>
    <col min="10" max="16384" width="8.85546875" style="89"/>
  </cols>
  <sheetData>
    <row r="1" spans="1:9">
      <c r="A1" s="244" t="s">
        <v>341</v>
      </c>
      <c r="B1" s="244"/>
      <c r="C1" s="244"/>
      <c r="D1" s="244"/>
      <c r="E1" s="244"/>
      <c r="F1" s="244"/>
      <c r="G1" s="244"/>
      <c r="H1" s="244"/>
      <c r="I1" s="88" t="s">
        <v>76</v>
      </c>
    </row>
    <row r="2" spans="1:9">
      <c r="A2" s="90"/>
      <c r="B2" s="108"/>
      <c r="C2" s="121"/>
      <c r="D2" s="113"/>
      <c r="E2" s="91"/>
      <c r="F2" s="92"/>
      <c r="G2" s="92"/>
      <c r="H2" s="92"/>
      <c r="I2" s="112"/>
    </row>
    <row r="3" spans="1:9">
      <c r="A3" s="245" t="s">
        <v>4</v>
      </c>
      <c r="B3" s="119"/>
      <c r="C3" s="119" t="s">
        <v>77</v>
      </c>
      <c r="D3" s="126"/>
      <c r="E3" s="124"/>
      <c r="F3" s="93" t="s">
        <v>5</v>
      </c>
      <c r="G3" s="94"/>
      <c r="H3" s="94"/>
      <c r="I3" s="130"/>
    </row>
    <row r="4" spans="1:9">
      <c r="A4" s="246"/>
      <c r="B4" s="120" t="s">
        <v>16</v>
      </c>
      <c r="C4" s="120" t="s">
        <v>78</v>
      </c>
      <c r="D4" s="127" t="s">
        <v>34</v>
      </c>
      <c r="E4" s="248" t="s">
        <v>298</v>
      </c>
      <c r="F4" s="248" t="s">
        <v>297</v>
      </c>
      <c r="G4" s="132" t="s">
        <v>9</v>
      </c>
      <c r="H4" s="132"/>
      <c r="I4" s="131" t="s">
        <v>2</v>
      </c>
    </row>
    <row r="5" spans="1:9">
      <c r="A5" s="246"/>
      <c r="B5" s="120" t="s">
        <v>17</v>
      </c>
      <c r="C5" s="120" t="s">
        <v>39</v>
      </c>
      <c r="D5" s="127" t="s">
        <v>35</v>
      </c>
      <c r="E5" s="249"/>
      <c r="F5" s="249"/>
      <c r="G5" s="95" t="s">
        <v>10</v>
      </c>
      <c r="H5" s="95" t="s">
        <v>11</v>
      </c>
      <c r="I5" s="131" t="s">
        <v>3</v>
      </c>
    </row>
    <row r="6" spans="1:9">
      <c r="A6" s="246"/>
      <c r="B6" s="120" t="s">
        <v>18</v>
      </c>
      <c r="C6" s="122" t="s">
        <v>40</v>
      </c>
      <c r="D6" s="127" t="s">
        <v>3</v>
      </c>
      <c r="E6" s="249"/>
      <c r="F6" s="249"/>
      <c r="G6" s="95"/>
      <c r="H6" s="95"/>
      <c r="I6" s="131"/>
    </row>
    <row r="7" spans="1:9">
      <c r="A7" s="247"/>
      <c r="B7" s="118"/>
      <c r="C7" s="123"/>
      <c r="D7" s="128"/>
      <c r="E7" s="250"/>
      <c r="F7" s="250"/>
      <c r="G7" s="133"/>
      <c r="H7" s="133"/>
      <c r="I7" s="129"/>
    </row>
    <row r="8" spans="1:9">
      <c r="A8" s="97">
        <v>1</v>
      </c>
      <c r="B8" s="117">
        <v>2</v>
      </c>
      <c r="C8" s="97">
        <v>3</v>
      </c>
      <c r="D8" s="125" t="s">
        <v>0</v>
      </c>
      <c r="E8" s="129">
        <v>5</v>
      </c>
      <c r="F8" s="129" t="s">
        <v>12</v>
      </c>
      <c r="G8" s="129" t="s">
        <v>13</v>
      </c>
      <c r="H8" s="129" t="s">
        <v>14</v>
      </c>
      <c r="I8" s="129" t="s">
        <v>15</v>
      </c>
    </row>
    <row r="9" spans="1:9" ht="31.5">
      <c r="A9" s="98" t="s">
        <v>79</v>
      </c>
      <c r="B9" s="99" t="s">
        <v>80</v>
      </c>
      <c r="C9" s="99" t="s">
        <v>19</v>
      </c>
      <c r="D9" s="147">
        <f>D21</f>
        <v>-1976106.4400000013</v>
      </c>
      <c r="E9" s="100">
        <f>E21</f>
        <v>-1966963.8299999982</v>
      </c>
      <c r="F9" s="100"/>
      <c r="G9" s="100"/>
      <c r="H9" s="100">
        <f>E21</f>
        <v>-1966963.8299999982</v>
      </c>
      <c r="I9" s="96"/>
    </row>
    <row r="10" spans="1:9">
      <c r="A10" s="98" t="s">
        <v>81</v>
      </c>
      <c r="B10" s="99"/>
      <c r="C10" s="99"/>
      <c r="D10" s="147"/>
      <c r="E10" s="100"/>
      <c r="F10" s="100"/>
      <c r="G10" s="100"/>
      <c r="H10" s="100"/>
      <c r="I10" s="96"/>
    </row>
    <row r="11" spans="1:9" ht="31.5">
      <c r="A11" s="98" t="s">
        <v>82</v>
      </c>
      <c r="B11" s="99" t="s">
        <v>83</v>
      </c>
      <c r="C11" s="96" t="s">
        <v>19</v>
      </c>
      <c r="D11" s="147"/>
      <c r="E11" s="100"/>
      <c r="F11" s="100"/>
      <c r="G11" s="100"/>
      <c r="H11" s="100"/>
      <c r="I11" s="96"/>
    </row>
    <row r="12" spans="1:9">
      <c r="A12" s="98" t="s">
        <v>84</v>
      </c>
      <c r="B12" s="99"/>
      <c r="C12" s="96"/>
      <c r="D12" s="147"/>
      <c r="E12" s="100"/>
      <c r="F12" s="100"/>
      <c r="G12" s="100"/>
      <c r="H12" s="100"/>
      <c r="I12" s="96"/>
    </row>
    <row r="13" spans="1:9">
      <c r="A13" s="98"/>
      <c r="B13" s="101"/>
      <c r="C13" s="96"/>
      <c r="D13" s="147"/>
      <c r="E13" s="100"/>
      <c r="F13" s="100"/>
      <c r="G13" s="100"/>
      <c r="H13" s="100"/>
      <c r="I13" s="96"/>
    </row>
    <row r="14" spans="1:9">
      <c r="A14" s="98"/>
      <c r="B14" s="101"/>
      <c r="C14" s="96"/>
      <c r="D14" s="147"/>
      <c r="E14" s="100"/>
      <c r="F14" s="100"/>
      <c r="G14" s="100"/>
      <c r="H14" s="100"/>
      <c r="I14" s="96"/>
    </row>
    <row r="15" spans="1:9">
      <c r="A15" s="98"/>
      <c r="B15" s="101"/>
      <c r="C15" s="96"/>
      <c r="D15" s="147"/>
      <c r="E15" s="100"/>
      <c r="F15" s="100"/>
      <c r="G15" s="100"/>
      <c r="H15" s="100"/>
      <c r="I15" s="96"/>
    </row>
    <row r="16" spans="1:9">
      <c r="A16" s="98"/>
      <c r="B16" s="101"/>
      <c r="C16" s="96"/>
      <c r="D16" s="147"/>
      <c r="E16" s="100"/>
      <c r="F16" s="100"/>
      <c r="G16" s="100"/>
      <c r="H16" s="100"/>
      <c r="I16" s="96"/>
    </row>
    <row r="17" spans="1:9" ht="31.5">
      <c r="A17" s="98" t="s">
        <v>85</v>
      </c>
      <c r="B17" s="99" t="s">
        <v>86</v>
      </c>
      <c r="C17" s="96" t="s">
        <v>19</v>
      </c>
      <c r="D17" s="147"/>
      <c r="E17" s="100"/>
      <c r="F17" s="100"/>
      <c r="G17" s="100"/>
      <c r="H17" s="100"/>
      <c r="I17" s="96"/>
    </row>
    <row r="18" spans="1:9">
      <c r="A18" s="98" t="s">
        <v>84</v>
      </c>
      <c r="B18" s="99"/>
      <c r="C18" s="96"/>
      <c r="D18" s="147"/>
      <c r="E18" s="100"/>
      <c r="F18" s="100"/>
      <c r="G18" s="100"/>
      <c r="H18" s="100"/>
      <c r="I18" s="96"/>
    </row>
    <row r="19" spans="1:9">
      <c r="A19" s="98"/>
      <c r="B19" s="99"/>
      <c r="C19" s="96"/>
      <c r="D19" s="147"/>
      <c r="E19" s="100"/>
      <c r="F19" s="100"/>
      <c r="G19" s="100"/>
      <c r="H19" s="100"/>
      <c r="I19" s="96"/>
    </row>
    <row r="20" spans="1:9">
      <c r="A20" s="98"/>
      <c r="B20" s="99"/>
      <c r="C20" s="96"/>
      <c r="D20" s="147"/>
      <c r="E20" s="100"/>
      <c r="F20" s="100"/>
      <c r="G20" s="100"/>
      <c r="H20" s="100"/>
      <c r="I20" s="96"/>
    </row>
    <row r="21" spans="1:9">
      <c r="A21" s="98" t="s">
        <v>87</v>
      </c>
      <c r="B21" s="99" t="s">
        <v>88</v>
      </c>
      <c r="C21" s="96"/>
      <c r="D21" s="147">
        <f>D22+D23</f>
        <v>-1976106.4400000013</v>
      </c>
      <c r="E21" s="100">
        <f>E22+E23</f>
        <v>-1966963.8299999982</v>
      </c>
      <c r="F21" s="100"/>
      <c r="G21" s="100"/>
      <c r="H21" s="100">
        <f t="shared" ref="H21" si="0">H22+H23</f>
        <v>-1966963.8299999982</v>
      </c>
      <c r="I21" s="96"/>
    </row>
    <row r="22" spans="1:9">
      <c r="A22" s="98" t="s">
        <v>89</v>
      </c>
      <c r="B22" s="99" t="s">
        <v>90</v>
      </c>
      <c r="C22" s="96" t="s">
        <v>91</v>
      </c>
      <c r="D22" s="100">
        <f>-Доходы!D21</f>
        <v>-16514198.640000001</v>
      </c>
      <c r="E22" s="100">
        <f>-Доходы!E21</f>
        <v>-16502529.899999999</v>
      </c>
      <c r="F22" s="100"/>
      <c r="G22" s="100"/>
      <c r="H22" s="100">
        <f>E22</f>
        <v>-16502529.899999999</v>
      </c>
      <c r="I22" s="96" t="s">
        <v>19</v>
      </c>
    </row>
    <row r="23" spans="1:9">
      <c r="A23" s="98" t="s">
        <v>92</v>
      </c>
      <c r="B23" s="99" t="s">
        <v>93</v>
      </c>
      <c r="C23" s="96" t="s">
        <v>94</v>
      </c>
      <c r="D23" s="100">
        <v>14538092.199999999</v>
      </c>
      <c r="E23" s="100">
        <v>14535566.07</v>
      </c>
      <c r="F23" s="100"/>
      <c r="G23" s="100"/>
      <c r="H23" s="100">
        <v>14535566.07</v>
      </c>
      <c r="I23" s="96" t="s">
        <v>19</v>
      </c>
    </row>
    <row r="24" spans="1:9" ht="31.5">
      <c r="A24" s="98" t="s">
        <v>95</v>
      </c>
      <c r="B24" s="99" t="s">
        <v>96</v>
      </c>
      <c r="C24" s="96" t="s">
        <v>19</v>
      </c>
      <c r="D24" s="96" t="s">
        <v>19</v>
      </c>
      <c r="E24" s="102"/>
      <c r="F24" s="96"/>
      <c r="G24" s="96"/>
      <c r="H24" s="96"/>
      <c r="I24" s="96" t="s">
        <v>19</v>
      </c>
    </row>
    <row r="25" spans="1:9" ht="63">
      <c r="A25" s="98" t="s">
        <v>97</v>
      </c>
      <c r="B25" s="99" t="s">
        <v>98</v>
      </c>
      <c r="C25" s="96" t="s">
        <v>19</v>
      </c>
      <c r="D25" s="96" t="s">
        <v>19</v>
      </c>
      <c r="E25" s="102"/>
      <c r="F25" s="96"/>
      <c r="G25" s="96" t="s">
        <v>19</v>
      </c>
      <c r="H25" s="96"/>
      <c r="I25" s="96" t="s">
        <v>19</v>
      </c>
    </row>
    <row r="26" spans="1:9">
      <c r="A26" s="98" t="s">
        <v>84</v>
      </c>
      <c r="B26" s="99"/>
      <c r="C26" s="96"/>
      <c r="D26" s="96"/>
      <c r="E26" s="102"/>
      <c r="F26" s="96"/>
      <c r="G26" s="96"/>
      <c r="H26" s="96"/>
      <c r="I26" s="96"/>
    </row>
    <row r="27" spans="1:9" ht="31.5">
      <c r="A27" s="98" t="s">
        <v>99</v>
      </c>
      <c r="B27" s="99" t="s">
        <v>100</v>
      </c>
      <c r="C27" s="96" t="s">
        <v>19</v>
      </c>
      <c r="D27" s="96" t="s">
        <v>19</v>
      </c>
      <c r="E27" s="102"/>
      <c r="F27" s="96" t="s">
        <v>19</v>
      </c>
      <c r="G27" s="96" t="s">
        <v>19</v>
      </c>
      <c r="H27" s="96"/>
      <c r="I27" s="96" t="s">
        <v>19</v>
      </c>
    </row>
    <row r="28" spans="1:9" ht="31.5">
      <c r="A28" s="98" t="s">
        <v>101</v>
      </c>
      <c r="B28" s="99" t="s">
        <v>102</v>
      </c>
      <c r="C28" s="96" t="s">
        <v>19</v>
      </c>
      <c r="D28" s="96" t="s">
        <v>19</v>
      </c>
      <c r="E28" s="102"/>
      <c r="F28" s="96"/>
      <c r="G28" s="96" t="s">
        <v>19</v>
      </c>
      <c r="H28" s="96"/>
      <c r="I28" s="96" t="s">
        <v>19</v>
      </c>
    </row>
    <row r="29" spans="1:9">
      <c r="A29" s="103"/>
      <c r="B29" s="104"/>
      <c r="C29" s="105"/>
      <c r="D29" s="105"/>
      <c r="E29" s="106"/>
      <c r="F29" s="105"/>
      <c r="G29" s="105"/>
      <c r="H29" s="105"/>
      <c r="I29" s="105"/>
    </row>
    <row r="30" spans="1:9">
      <c r="A30" s="107"/>
      <c r="B30" s="107"/>
      <c r="C30" s="105"/>
      <c r="D30" s="105"/>
      <c r="E30" s="106"/>
      <c r="F30" s="105"/>
      <c r="G30" s="105"/>
      <c r="H30" s="105"/>
      <c r="I30" s="105"/>
    </row>
    <row r="31" spans="1:9" ht="31.5">
      <c r="A31" s="103" t="s">
        <v>275</v>
      </c>
      <c r="B31" s="103"/>
      <c r="C31" s="105" t="s">
        <v>226</v>
      </c>
      <c r="D31" s="108"/>
      <c r="E31" s="109"/>
      <c r="F31" s="105"/>
      <c r="G31" s="105"/>
      <c r="H31" s="105"/>
      <c r="I31" s="105"/>
    </row>
    <row r="32" spans="1:9">
      <c r="A32" s="110" t="s">
        <v>103</v>
      </c>
      <c r="C32" s="111"/>
      <c r="D32" s="112"/>
      <c r="E32" s="113" t="s">
        <v>104</v>
      </c>
      <c r="F32" s="112"/>
      <c r="G32" s="112" t="s">
        <v>105</v>
      </c>
      <c r="H32" s="112" t="s">
        <v>106</v>
      </c>
      <c r="I32" s="112"/>
    </row>
    <row r="33" spans="1:9">
      <c r="D33" s="112"/>
      <c r="E33" s="113"/>
      <c r="F33" s="114" t="s">
        <v>107</v>
      </c>
      <c r="H33" s="112"/>
      <c r="I33" s="112"/>
    </row>
    <row r="34" spans="1:9">
      <c r="A34" s="110" t="s">
        <v>108</v>
      </c>
      <c r="C34" s="111" t="s">
        <v>345</v>
      </c>
      <c r="D34" s="112"/>
      <c r="E34" s="113"/>
      <c r="F34" s="112"/>
      <c r="G34" s="112"/>
      <c r="H34" s="112"/>
      <c r="I34" s="112"/>
    </row>
    <row r="35" spans="1:9">
      <c r="C35" s="114"/>
      <c r="D35" s="112"/>
      <c r="E35" s="113"/>
      <c r="F35" s="112"/>
      <c r="G35" s="112"/>
      <c r="H35" s="112"/>
      <c r="I35" s="112"/>
    </row>
    <row r="36" spans="1:9">
      <c r="D36" s="112"/>
      <c r="E36" s="113"/>
      <c r="F36" s="112"/>
      <c r="G36" s="112"/>
      <c r="H36" s="112"/>
      <c r="I36" s="112"/>
    </row>
    <row r="37" spans="1:9">
      <c r="D37" s="112"/>
      <c r="E37" s="113"/>
      <c r="F37" s="112"/>
      <c r="G37" s="112"/>
      <c r="H37" s="112"/>
      <c r="I37" s="112"/>
    </row>
    <row r="38" spans="1:9">
      <c r="D38" s="115"/>
    </row>
    <row r="39" spans="1:9">
      <c r="D39" s="115"/>
    </row>
    <row r="40" spans="1:9">
      <c r="D40" s="116"/>
    </row>
  </sheetData>
  <mergeCells count="4">
    <mergeCell ref="A1:H1"/>
    <mergeCell ref="A3:A7"/>
    <mergeCell ref="E4:E7"/>
    <mergeCell ref="F4:F7"/>
  </mergeCells>
  <phoneticPr fontId="3" type="noConversion"/>
  <printOptions gridLinesSet="0"/>
  <pageMargins left="0.39370078740157483" right="0.39370078740157483" top="0.42" bottom="0.39370078740157483" header="0" footer="0"/>
  <pageSetup paperSize="9" scale="78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Irina</cp:lastModifiedBy>
  <cp:lastPrinted>2017-12-05T05:17:52Z</cp:lastPrinted>
  <dcterms:created xsi:type="dcterms:W3CDTF">1999-06-18T11:49:53Z</dcterms:created>
  <dcterms:modified xsi:type="dcterms:W3CDTF">2018-01-12T08:48:04Z</dcterms:modified>
</cp:coreProperties>
</file>